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7825" windowHeight="13170" activeTab="0"/>
  </bookViews>
  <sheets>
    <sheet name="agregat_rkw" sheetId="1" r:id="rId1"/>
  </sheets>
  <definedNames/>
  <calcPr fullCalcOnLoad="1"/>
</workbook>
</file>

<file path=xl/sharedStrings.xml><?xml version="1.0" encoding="utf-8"?>
<sst xmlns="http://schemas.openxmlformats.org/spreadsheetml/2006/main" count="192" uniqueCount="41">
  <si>
    <t>Wybory posłów do Parlamentu Europejskiego zarządzone na 25 maja 2014 r.</t>
  </si>
  <si>
    <t>Rejonowa Komisja Wyborcza w Piotrkowie Trybunalskim</t>
  </si>
  <si>
    <t xml:space="preserve">     </t>
  </si>
  <si>
    <t> 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</si>
  <si>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</si>
  <si>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</si>
  <si>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</si>
  <si>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</si>
  <si>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</si>
  <si>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</si>
  <si>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</si>
  <si>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</si>
  <si>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</si>
  <si>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</si>
  <si>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</si>
  <si>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Nie wykorzystano kart do głosowania</t>
  </si>
  <si>
    <t>Liczba wyborców, którym wydano karty do głosowania</t>
  </si>
  <si>
    <t>w tym w części A spisu wyborców</t>
  </si>
  <si>
    <t>w tym w części B spisu wyborców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</si>
  <si>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</si>
  <si>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</si>
  <si>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</si>
  <si>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</si>
  <si>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głosowaniu</t>
  </si>
  <si>
    <t>Liczba kopert zwrotnych, w których oswiadczenie nie było podpisane przez wyborcę</t>
  </si>
  <si>
    <t>Liczba kopert zwrotnych, w których nie było koperty na kartę do głosowania</t>
  </si>
  <si>
    <t>Liczba kopert zwrotnych, w których znajdowała sie niezaklejona koperta na kartę do głosowania</t>
  </si>
  <si>
    <t>Liczba kopert na kartę do głosowania wrzuconych do urny</t>
  </si>
  <si>
    <t>Liczba kart wyjętych z urny</t>
  </si>
  <si>
    <t>w tym liczba kart wyjętych z kopert na karty do głosowania</t>
  </si>
  <si>
    <t>Liczba kart nieważnych</t>
  </si>
  <si>
    <t>Liczba kart ważnych</t>
  </si>
  <si>
    <t>Liczba głosów nieważnych</t>
  </si>
  <si>
    <t>Liczba głosów ważnych oddanych łącznie na wszystkie listy kandydatów</t>
  </si>
  <si>
    <t>Liczba głosów ważnych oddanych na listę</t>
  </si>
  <si>
    <t>Razem</t>
  </si>
  <si>
    <t>="Ręczno  sala Wspólny Dom", ul. Piotrkowska 5, 97-510 Ręczno"""</t>
  </si>
  <si>
    <t>="Niepubliczny Zakład Pielęgnacyjno-Opiekuńczy Family" w Tarasie, Taras 46A, 97-570 Przedbórz"""</t>
  </si>
  <si>
    <t>="Dom Opieki Zacisze", Południowa 29, Łaznowska Wola, 97-221 Rokiciny"""</t>
  </si>
  <si>
    <t>="Świetlica Środowiskowa TPD Stokrotka", ul. Wronia 55/59, 97-300 Piotrków Trybunalski"""</t>
  </si>
  <si>
    <t>="Dzienny Dom Pomocy Społecznej Dom Seniora", ul. Wojska Polskiego 127, 97-300 Piotrków Trybunalski"""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</si>
</sst>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433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1" ht="14.25">
      <c r="A1" t="s">
        <v>0</v>
      </c>
    </row>
    <row r="2" ht="14.25">
      <c r="A2" t="s">
        <v>1</v>
      </c>
    </row>
    <row r="4" spans="21:172" ht="14.25">
      <c r="U4" t="s">
        <v>2</v>
      </c>
      <c r="AE4" t="str">
        <f>"Lista nr 1 — KW Solidarna Polska Zbigniewa Ziobro"</f>
        <v>Lista nr 1 — KW Solidarna Polska Zbigniewa Ziobro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tr">
        <f>"Lista nr 2 — Komitet Wyborczy Wyborców Ruch Narodowy"</f>
        <v>Lista nr 2 — Komitet Wyborczy Wyborców Ruch Narodowy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3</v>
      </c>
      <c r="AX4" t="s">
        <v>3</v>
      </c>
      <c r="AY4" t="s">
        <v>3</v>
      </c>
      <c r="AZ4" t="s">
        <v>3</v>
      </c>
      <c r="BA4" t="s">
        <v>3</v>
      </c>
      <c r="BB4" t="s">
        <v>3</v>
      </c>
      <c r="BC4" t="str">
        <f>"Lista nr 3 — KKW SLD-UP"</f>
        <v>Lista nr 3 — KKW SLD-UP</v>
      </c>
      <c r="BD4" t="s">
        <v>3</v>
      </c>
      <c r="BE4" t="s">
        <v>3</v>
      </c>
      <c r="BF4" t="s">
        <v>3</v>
      </c>
      <c r="BG4" t="s">
        <v>3</v>
      </c>
      <c r="BH4" t="s">
        <v>3</v>
      </c>
      <c r="BI4" t="s">
        <v>3</v>
      </c>
      <c r="BJ4" t="s">
        <v>3</v>
      </c>
      <c r="BK4" t="s">
        <v>3</v>
      </c>
      <c r="BL4" t="s">
        <v>3</v>
      </c>
      <c r="BM4" t="s">
        <v>3</v>
      </c>
      <c r="BN4" t="s">
        <v>3</v>
      </c>
      <c r="BO4" t="str">
        <f>"Lista nr 4 — KW Prawo i Sprawiedliwość"</f>
        <v>Lista nr 4 — KW Prawo i Sprawiedliwość</v>
      </c>
      <c r="BP4" t="s">
        <v>3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tr">
        <f>"Lista nr 5 — KKW Europa Plus Twój Ruch"</f>
        <v>Lista nr 5 — KKW Europa Plus Twój Ruch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tr">
        <f>"Lista nr 6 — KW Polska Razem Jarosława Gowina"</f>
        <v>Lista nr 6 — KW Polska Razem Jarosława Gowina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3</v>
      </c>
      <c r="CY4" t="str">
        <f>"Lista nr 7 — KW Nowa Prawica – Janusza Korwin-Mikke"</f>
        <v>Lista nr 7 — KW Nowa Prawica – Janusza Korwin-Mikke</v>
      </c>
      <c r="CZ4" t="s">
        <v>3</v>
      </c>
      <c r="DA4" t="s">
        <v>3</v>
      </c>
      <c r="DB4" t="s">
        <v>3</v>
      </c>
      <c r="DC4" t="s">
        <v>3</v>
      </c>
      <c r="DD4" t="s">
        <v>3</v>
      </c>
      <c r="DE4" t="s">
        <v>3</v>
      </c>
      <c r="DF4" t="s">
        <v>3</v>
      </c>
      <c r="DG4" t="s">
        <v>3</v>
      </c>
      <c r="DH4" t="s">
        <v>3</v>
      </c>
      <c r="DI4" t="s">
        <v>3</v>
      </c>
      <c r="DJ4" t="s">
        <v>3</v>
      </c>
      <c r="DK4" t="str">
        <f>"Lista nr 8 — KW Platforma Obywatelska RP"</f>
        <v>Lista nr 8 — KW Platforma Obywatelska RP</v>
      </c>
      <c r="DL4" t="s">
        <v>3</v>
      </c>
      <c r="DM4" t="s">
        <v>3</v>
      </c>
      <c r="DN4" t="s">
        <v>3</v>
      </c>
      <c r="DO4" t="s">
        <v>3</v>
      </c>
      <c r="DP4" t="s">
        <v>3</v>
      </c>
      <c r="DQ4" t="s">
        <v>3</v>
      </c>
      <c r="DR4" t="s">
        <v>3</v>
      </c>
      <c r="DS4" t="s">
        <v>3</v>
      </c>
      <c r="DT4" t="s">
        <v>3</v>
      </c>
      <c r="DU4" t="s">
        <v>3</v>
      </c>
      <c r="DV4" t="s">
        <v>3</v>
      </c>
      <c r="DW4" t="str">
        <f>"Lista nr 9 — Komitet Wyborczy Polskie Stronnictwo Ludowe"</f>
        <v>Lista nr 9 — Komitet Wyborczy Polskie Stronnictwo Ludowe</v>
      </c>
      <c r="DX4" t="s">
        <v>3</v>
      </c>
      <c r="DY4" t="s">
        <v>3</v>
      </c>
      <c r="DZ4" t="s">
        <v>3</v>
      </c>
      <c r="EA4" t="s">
        <v>3</v>
      </c>
      <c r="EB4" t="s">
        <v>3</v>
      </c>
      <c r="EC4" t="s">
        <v>3</v>
      </c>
      <c r="ED4" t="s">
        <v>3</v>
      </c>
      <c r="EE4" t="s">
        <v>3</v>
      </c>
      <c r="EF4" t="s">
        <v>3</v>
      </c>
      <c r="EG4" t="s">
        <v>3</v>
      </c>
      <c r="EH4" t="s">
        <v>3</v>
      </c>
      <c r="EI4" t="str">
        <f>"Lista nr 10 — Komitet Wyborczy Demokracja Bezpośrednia"</f>
        <v>Lista nr 10 — Komitet Wyborczy Demokracja Bezpośrednia</v>
      </c>
      <c r="EJ4" t="s">
        <v>3</v>
      </c>
      <c r="EK4" t="s">
        <v>3</v>
      </c>
      <c r="EL4" t="s">
        <v>3</v>
      </c>
      <c r="EM4" t="s">
        <v>3</v>
      </c>
      <c r="EN4" t="s">
        <v>3</v>
      </c>
      <c r="EO4" t="s">
        <v>3</v>
      </c>
      <c r="EP4" t="s">
        <v>3</v>
      </c>
      <c r="EQ4" t="s">
        <v>3</v>
      </c>
      <c r="ER4" t="s">
        <v>3</v>
      </c>
      <c r="ES4" t="str">
        <f>"Lista nr 11 — KW Samoobrona"</f>
        <v>Lista nr 11 — KW Samoobrona</v>
      </c>
      <c r="ET4" t="s">
        <v>3</v>
      </c>
      <c r="EU4" t="s">
        <v>3</v>
      </c>
      <c r="EV4" t="s">
        <v>3</v>
      </c>
      <c r="EW4" t="s">
        <v>3</v>
      </c>
      <c r="EX4" t="s">
        <v>3</v>
      </c>
      <c r="EY4" t="s">
        <v>3</v>
      </c>
      <c r="EZ4" t="s">
        <v>3</v>
      </c>
      <c r="FA4" t="s">
        <v>3</v>
      </c>
      <c r="FB4" t="s">
        <v>3</v>
      </c>
      <c r="FC4" t="s">
        <v>3</v>
      </c>
      <c r="FD4" t="s">
        <v>3</v>
      </c>
      <c r="FE4" t="str">
        <f>"Lista nr 12 — Komitet Wyborczy Partia Zieloni"</f>
        <v>Lista nr 12 — Komitet Wyborczy Partia Zieloni</v>
      </c>
      <c r="FF4" t="s">
        <v>3</v>
      </c>
      <c r="FG4" t="s">
        <v>3</v>
      </c>
      <c r="FH4" t="s">
        <v>3</v>
      </c>
      <c r="FI4" t="s">
        <v>3</v>
      </c>
      <c r="FJ4" t="s">
        <v>3</v>
      </c>
      <c r="FK4" t="s">
        <v>3</v>
      </c>
      <c r="FL4" t="s">
        <v>3</v>
      </c>
      <c r="FM4" t="s">
        <v>3</v>
      </c>
      <c r="FN4" t="s">
        <v>3</v>
      </c>
      <c r="FO4" t="s">
        <v>3</v>
      </c>
      <c r="FP4" t="s">
        <v>3</v>
      </c>
    </row>
    <row r="5" spans="1:172" ht="14.2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  <c r="W5" t="s">
        <v>26</v>
      </c>
      <c r="X5" t="s">
        <v>27</v>
      </c>
      <c r="Y5" t="s">
        <v>28</v>
      </c>
      <c r="Z5" t="s">
        <v>29</v>
      </c>
      <c r="AA5" t="s">
        <v>30</v>
      </c>
      <c r="AB5" t="s">
        <v>31</v>
      </c>
      <c r="AC5" t="s">
        <v>32</v>
      </c>
      <c r="AD5" t="s">
        <v>33</v>
      </c>
      <c r="AE5" t="s">
        <v>34</v>
      </c>
      <c r="AF5" t="str">
        <f>"WOŹNIAK Tadeusz Jacek"</f>
        <v>WOŹNIAK Tadeusz Jacek</v>
      </c>
      <c r="AG5" t="str">
        <f>"SOWIŃSKA Ewa Barbara"</f>
        <v>SOWIŃSKA Ewa Barbara</v>
      </c>
      <c r="AH5" t="str">
        <f>"MACIEJEWSKI Krzysztof"</f>
        <v>MACIEJEWSKI Krzysztof</v>
      </c>
      <c r="AI5" t="str">
        <f>"GENS Teresa Brygida"</f>
        <v>GENS Teresa Brygida</v>
      </c>
      <c r="AJ5" t="str">
        <f>"ROŻENEK Andrzej Franciszek"</f>
        <v>ROŻENEK Andrzej Franciszek</v>
      </c>
      <c r="AK5" t="str">
        <f>"KOCZUR Marian Józef"</f>
        <v>KOCZUR Marian Józef</v>
      </c>
      <c r="AL5" t="str">
        <f>"ŚWIĄTKOWSKA Paulina Anna"</f>
        <v>ŚWIĄTKOWSKA Paulina Anna</v>
      </c>
      <c r="AM5" t="str">
        <f>"SZYDŁOWSKI Adam Marian"</f>
        <v>SZYDŁOWSKI Adam Marian</v>
      </c>
      <c r="AN5" t="str">
        <f>"OWCZAREK Izabela Oliwia"</f>
        <v>OWCZAREK Izabela Oliwia</v>
      </c>
      <c r="AO5" t="str">
        <f>"SŁOWIŃSKI Michał Piotr"</f>
        <v>SŁOWIŃSKI Michał Piotr</v>
      </c>
      <c r="AP5" t="s">
        <v>35</v>
      </c>
      <c r="AQ5" t="s">
        <v>34</v>
      </c>
      <c r="AR5" t="str">
        <f>"MIGUS Maciej Stanisław"</f>
        <v>MIGUS Maciej Stanisław</v>
      </c>
      <c r="AS5" t="str">
        <f>"WALISZEWSKI Jan Nikodem"</f>
        <v>WALISZEWSKI Jan Nikodem</v>
      </c>
      <c r="AT5" t="str">
        <f>"ŻARNECKI Adrian Iwo"</f>
        <v>ŻARNECKI Adrian Iwo</v>
      </c>
      <c r="AU5" t="str">
        <f>"HEJNIAK Sebastian Patryk"</f>
        <v>HEJNIAK Sebastian Patryk</v>
      </c>
      <c r="AV5" t="str">
        <f>"BERNAT Patrycja"</f>
        <v>BERNAT Patrycja</v>
      </c>
      <c r="AW5" t="str">
        <f>"SZTEMBOROWSKI Grzegorz Zbigniew"</f>
        <v>SZTEMBOROWSKI Grzegorz Zbigniew</v>
      </c>
      <c r="AX5" t="str">
        <f>"MONETA Katarzyna Justyna"</f>
        <v>MONETA Katarzyna Justyna</v>
      </c>
      <c r="AY5" t="str">
        <f>"CHYBAŁA Karolina Marianna"</f>
        <v>CHYBAŁA Karolina Marianna</v>
      </c>
      <c r="AZ5" t="str">
        <f>"JABŁOŃSKI Wojciech"</f>
        <v>JABŁOŃSKI Wojciech</v>
      </c>
      <c r="BA5" t="str">
        <f>"NOWACKA Monika"</f>
        <v>NOWACKA Monika</v>
      </c>
      <c r="BB5" t="s">
        <v>35</v>
      </c>
      <c r="BC5" t="s">
        <v>34</v>
      </c>
      <c r="BD5" t="str">
        <f>"MARCZUK Weronika Olena"</f>
        <v>MARCZUK Weronika Olena</v>
      </c>
      <c r="BE5" t="str">
        <f>"MATUSZAK Grzegorz Jan"</f>
        <v>MATUSZAK Grzegorz Jan</v>
      </c>
      <c r="BF5" t="str">
        <f>"KRASIŃSKI Zbigniew Stanisław"</f>
        <v>KRASIŃSKI Zbigniew Stanisław</v>
      </c>
      <c r="BG5" t="str">
        <f>"BORZĘCKA Jolanta Maria"</f>
        <v>BORZĘCKA Jolanta Maria</v>
      </c>
      <c r="BH5" t="str">
        <f>"KARCZ Tadeusz"</f>
        <v>KARCZ Tadeusz</v>
      </c>
      <c r="BI5" t="str">
        <f>"DĘBSKA Anna Janina"</f>
        <v>DĘBSKA Anna Janina</v>
      </c>
      <c r="BJ5" t="str">
        <f>"ROZPARA Tadeusz"</f>
        <v>ROZPARA Tadeusz</v>
      </c>
      <c r="BK5" t="str">
        <f>"DZIEMDZIELA Paweł"</f>
        <v>DZIEMDZIELA Paweł</v>
      </c>
      <c r="BL5" t="str">
        <f>"WOJTCZAK Dorota Barbara"</f>
        <v>WOJTCZAK Dorota Barbara</v>
      </c>
      <c r="BM5" t="str">
        <f>"BĄKIEWICZ Michał Bogusław"</f>
        <v>BĄKIEWICZ Michał Bogusław</v>
      </c>
      <c r="BN5" t="s">
        <v>35</v>
      </c>
      <c r="BO5" t="s">
        <v>34</v>
      </c>
      <c r="BP5" t="str">
        <f>"WOJCIECHOWSKI Janusz Czesław"</f>
        <v>WOJCIECHOWSKI Janusz Czesław</v>
      </c>
      <c r="BQ5" t="str">
        <f>"KRUPA Urszula Irena"</f>
        <v>KRUPA Urszula Irena</v>
      </c>
      <c r="BR5" t="str">
        <f>"WASZCZYKOWSKI Witold Jan"</f>
        <v>WASZCZYKOWSKI Witold Jan</v>
      </c>
      <c r="BS5" t="str">
        <f>"POLAK Piotr Stanisław"</f>
        <v>POLAK Piotr Stanisław</v>
      </c>
      <c r="BT5" t="str">
        <f>"SZAŁKOWSKA-WEST Ewa Maria"</f>
        <v>SZAŁKOWSKA-WEST Ewa Maria</v>
      </c>
      <c r="BU5" t="str">
        <f>"TELUS Robert"</f>
        <v>TELUS Robert</v>
      </c>
      <c r="BV5" t="str">
        <f>"KOPERSKA Iwona Edyta"</f>
        <v>KOPERSKA Iwona Edyta</v>
      </c>
      <c r="BW5" t="str">
        <f>"GRABEK Anna Małgorzata"</f>
        <v>GRABEK Anna Małgorzata</v>
      </c>
      <c r="BX5" t="str">
        <f>"OLEJNIK Wiesława Helena"</f>
        <v>OLEJNIK Wiesława Helena</v>
      </c>
      <c r="BY5" t="str">
        <f>"MATUSZEWSKI Marek"</f>
        <v>MATUSZEWSKI Marek</v>
      </c>
      <c r="BZ5" t="s">
        <v>35</v>
      </c>
      <c r="CA5" t="s">
        <v>34</v>
      </c>
      <c r="CB5" t="str">
        <f>"WÓJCIAK-PLEYN Ewa Maria"</f>
        <v>WÓJCIAK-PLEYN Ewa Maria</v>
      </c>
      <c r="CC5" t="str">
        <f>"MAKOWSKI Krzysztof Michał"</f>
        <v>MAKOWSKI Krzysztof Michał</v>
      </c>
      <c r="CD5" t="str">
        <f>"ŁUCZAK Agnieszka Maria"</f>
        <v>ŁUCZAK Agnieszka Maria</v>
      </c>
      <c r="CE5" t="str">
        <f>"KRAWCZYK Michał"</f>
        <v>KRAWCZYK Michał</v>
      </c>
      <c r="CF5" t="str">
        <f>"GRYNIEWICZ Małgorzata Eleonora"</f>
        <v>GRYNIEWICZ Małgorzata Eleonora</v>
      </c>
      <c r="CG5" t="str">
        <f>"KOZAK Rafał Piotr"</f>
        <v>KOZAK Rafał Piotr</v>
      </c>
      <c r="CH5" t="str">
        <f>"DIDOWICZ Anna"</f>
        <v>DIDOWICZ Anna</v>
      </c>
      <c r="CI5" t="str">
        <f>"LEWANDOWSKI Marcin Paweł"</f>
        <v>LEWANDOWSKI Marcin Paweł</v>
      </c>
      <c r="CJ5" t="str">
        <f>"WYPYCH Ewelina"</f>
        <v>WYPYCH Ewelina</v>
      </c>
      <c r="CK5" t="str">
        <f>"PACHOLSKI Michał Tomasz"</f>
        <v>PACHOLSKI Michał Tomasz</v>
      </c>
      <c r="CL5" t="s">
        <v>35</v>
      </c>
      <c r="CM5" t="s">
        <v>34</v>
      </c>
      <c r="CN5" t="str">
        <f>"GODSON John Abraham"</f>
        <v>GODSON John Abraham</v>
      </c>
      <c r="CO5" t="str">
        <f>"NOWAK Małgorzata Eugenia"</f>
        <v>NOWAK Małgorzata Eugenia</v>
      </c>
      <c r="CP5" t="str">
        <f>"WARZECHA Jarosław Jerzy"</f>
        <v>WARZECHA Jarosław Jerzy</v>
      </c>
      <c r="CQ5" t="str">
        <f>"WALCZAK Joanna Izabela"</f>
        <v>WALCZAK Joanna Izabela</v>
      </c>
      <c r="CR5" t="str">
        <f>"ARKUSZ Radosław Michał"</f>
        <v>ARKUSZ Radosław Michał</v>
      </c>
      <c r="CS5" t="str">
        <f>"BORKOWSKI Bartosz Mieczysław"</f>
        <v>BORKOWSKI Bartosz Mieczysław</v>
      </c>
      <c r="CT5" t="str">
        <f>"BŁOŃSKA-SUK Marzena Małgorzata"</f>
        <v>BŁOŃSKA-SUK Marzena Małgorzata</v>
      </c>
      <c r="CU5" t="str">
        <f>"STEFANEK Mirosław Wojciech"</f>
        <v>STEFANEK Mirosław Wojciech</v>
      </c>
      <c r="CV5" t="str">
        <f>"KUPIS-URBANIAK Mirosława"</f>
        <v>KUPIS-URBANIAK Mirosława</v>
      </c>
      <c r="CW5" t="str">
        <f>"GAWRON Jakub Mateusz"</f>
        <v>GAWRON Jakub Mateusz</v>
      </c>
      <c r="CX5" t="s">
        <v>35</v>
      </c>
      <c r="CY5" t="s">
        <v>34</v>
      </c>
      <c r="CZ5" t="str">
        <f>"WOCH Adam"</f>
        <v>WOCH Adam</v>
      </c>
      <c r="DA5" t="str">
        <f>"BUDZISZ Emilia Małgorzata"</f>
        <v>BUDZISZ Emilia Małgorzata</v>
      </c>
      <c r="DB5" t="str">
        <f>"MALKA Andrzej Roman"</f>
        <v>MALKA Andrzej Roman</v>
      </c>
      <c r="DC5" t="str">
        <f>"SŁOTA Tomasz Andrzej"</f>
        <v>SŁOTA Tomasz Andrzej</v>
      </c>
      <c r="DD5" t="str">
        <f>"UTECHT Greta"</f>
        <v>UTECHT Greta</v>
      </c>
      <c r="DE5" t="str">
        <f>"LIPCZYK Zbigniew Jerzy"</f>
        <v>LIPCZYK Zbigniew Jerzy</v>
      </c>
      <c r="DF5" t="str">
        <f>"DOBIESZ Alicja Maria"</f>
        <v>DOBIESZ Alicja Maria</v>
      </c>
      <c r="DG5" t="str">
        <f>"ZIELIŃSKI Konrad Aleksander"</f>
        <v>ZIELIŃSKI Konrad Aleksander</v>
      </c>
      <c r="DH5" t="str">
        <f>"PAWŁOWSKA Iga Aleksandra"</f>
        <v>PAWŁOWSKA Iga Aleksandra</v>
      </c>
      <c r="DI5" t="str">
        <f>"SYGA Artur Jerzy"</f>
        <v>SYGA Artur Jerzy</v>
      </c>
      <c r="DJ5" t="s">
        <v>35</v>
      </c>
      <c r="DK5" t="s">
        <v>34</v>
      </c>
      <c r="DL5" t="str">
        <f>"SARYUSZ-WOLSKI Jacek Emil"</f>
        <v>SARYUSZ-WOLSKI Jacek Emil</v>
      </c>
      <c r="DM5" t="str">
        <f>"SKRZYDLEWSKA Joanna Katarzyna"</f>
        <v>SKRZYDLEWSKA Joanna Katarzyna</v>
      </c>
      <c r="DN5" t="str">
        <f>"MALARECKI Krzysztof Bogusław"</f>
        <v>MALARECKI Krzysztof Bogusław</v>
      </c>
      <c r="DO5" t="str">
        <f>"RYL Dorota Helena"</f>
        <v>RYL Dorota Helena</v>
      </c>
      <c r="DP5" t="str">
        <f>"GAJEWSKI Arkadiusz Paweł"</f>
        <v>GAJEWSKI Arkadiusz Paweł</v>
      </c>
      <c r="DQ5" t="str">
        <f>"RABIEGA Anna Barbara"</f>
        <v>RABIEGA Anna Barbara</v>
      </c>
      <c r="DR5" t="str">
        <f>"ZATORSKI Jacek Andrzej"</f>
        <v>ZATORSKI Jacek Andrzej</v>
      </c>
      <c r="DS5" t="str">
        <f>"PIETRZAK Teresa Wiesława"</f>
        <v>PIETRZAK Teresa Wiesława</v>
      </c>
      <c r="DT5" t="str">
        <f>"ZIEMNIEWICZ Bożena Maria"</f>
        <v>ZIEMNIEWICZ Bożena Maria</v>
      </c>
      <c r="DU5" t="str">
        <f>"BONISŁAWSKI Ryszard Wiesław"</f>
        <v>BONISŁAWSKI Ryszard Wiesław</v>
      </c>
      <c r="DV5" t="s">
        <v>35</v>
      </c>
      <c r="DW5" t="s">
        <v>34</v>
      </c>
      <c r="DX5" t="str">
        <f>"ŁUCZAK Mieczysław Marcin"</f>
        <v>ŁUCZAK Mieczysław Marcin</v>
      </c>
      <c r="DY5" t="str">
        <f>"OZGA Krystyna Ewa"</f>
        <v>OZGA Krystyna Ewa</v>
      </c>
      <c r="DZ5" t="str">
        <f>"TELATYCKI Czesław Krzysztof"</f>
        <v>TELATYCKI Czesław Krzysztof</v>
      </c>
      <c r="EA5" t="str">
        <f>"BEJDA Paweł Jan"</f>
        <v>BEJDA Paweł Jan</v>
      </c>
      <c r="EB5" t="str">
        <f>"MAZUR Marek Marian"</f>
        <v>MAZUR Marek Marian</v>
      </c>
      <c r="EC5" t="str">
        <f>"KLIMCZAK Dariusz"</f>
        <v>KLIMCZAK Dariusz</v>
      </c>
      <c r="ED5" t="str">
        <f>"NAWROCKA Elżbieta Renata"</f>
        <v>NAWROCKA Elżbieta Renata</v>
      </c>
      <c r="EE5" t="str">
        <f>"KACZOROWSKA Maria"</f>
        <v>KACZOROWSKA Maria</v>
      </c>
      <c r="EF5" t="str">
        <f>"GABRYELCZAK Małgorzata"</f>
        <v>GABRYELCZAK Małgorzata</v>
      </c>
      <c r="EG5" t="str">
        <f>"BAGIEŃSKI Artur Jan"</f>
        <v>BAGIEŃSKI Artur Jan</v>
      </c>
      <c r="EH5" t="s">
        <v>35</v>
      </c>
      <c r="EI5" t="s">
        <v>34</v>
      </c>
      <c r="EJ5" t="str">
        <f>"SŁOWIŃSKI Tomasz Michał"</f>
        <v>SŁOWIŃSKI Tomasz Michał</v>
      </c>
      <c r="EK5" t="str">
        <f>"KWAŚNIEWSKI Aleksander"</f>
        <v>KWAŚNIEWSKI Aleksander</v>
      </c>
      <c r="EL5" t="str">
        <f>"DYDYCZ Michał Karol"</f>
        <v>DYDYCZ Michał Karol</v>
      </c>
      <c r="EM5" t="str">
        <f>"KOLBUSZ Paulina Diana"</f>
        <v>KOLBUSZ Paulina Diana</v>
      </c>
      <c r="EN5" t="str">
        <f>"ROSZATYCKI Piotr Kamil"</f>
        <v>ROSZATYCKI Piotr Kamil</v>
      </c>
      <c r="EO5" t="str">
        <f>"KAMIŃSKA Magdalena Maria"</f>
        <v>KAMIŃSKA Magdalena Maria</v>
      </c>
      <c r="EP5" t="str">
        <f>"SZEWCZYK Kinga"</f>
        <v>SZEWCZYK Kinga</v>
      </c>
      <c r="EQ5" t="str">
        <f>"JAROS-KAMIŃSKA Barbara"</f>
        <v>JAROS-KAMIŃSKA Barbara</v>
      </c>
      <c r="ER5" t="s">
        <v>35</v>
      </c>
      <c r="ES5" t="s">
        <v>34</v>
      </c>
      <c r="ET5" t="str">
        <f>"URBANIAK Andrzej"</f>
        <v>URBANIAK Andrzej</v>
      </c>
      <c r="EU5" t="str">
        <f>"SOBCZYK Michał"</f>
        <v>SOBCZYK Michał</v>
      </c>
      <c r="EV5" t="str">
        <f>"ANDRYSIAK Grzegorz Witold"</f>
        <v>ANDRYSIAK Grzegorz Witold</v>
      </c>
      <c r="EW5" t="str">
        <f>"MARCINKOWSKA-ADAMIAK Henryka Janina"</f>
        <v>MARCINKOWSKA-ADAMIAK Henryka Janina</v>
      </c>
      <c r="EX5" t="str">
        <f>"SŁOWAKIEWICZ Sebastian Stanisław"</f>
        <v>SŁOWAKIEWICZ Sebastian Stanisław</v>
      </c>
      <c r="EY5" t="str">
        <f>"WOŹNIAKOWSKA Grażyna"</f>
        <v>WOŹNIAKOWSKA Grażyna</v>
      </c>
      <c r="EZ5" t="str">
        <f>"HERBRICH Ryszard Walenty"</f>
        <v>HERBRICH Ryszard Walenty</v>
      </c>
      <c r="FA5" t="str">
        <f>"PIOTROWSKA Małgorzata Ewa"</f>
        <v>PIOTROWSKA Małgorzata Ewa</v>
      </c>
      <c r="FB5" t="str">
        <f>"PIETRZYKOWSKA Maria Helena"</f>
        <v>PIETRZYKOWSKA Maria Helena</v>
      </c>
      <c r="FC5" t="str">
        <f>"MAJKOWSKI Bronisław Mirosław"</f>
        <v>MAJKOWSKI Bronisław Mirosław</v>
      </c>
      <c r="FD5" t="s">
        <v>35</v>
      </c>
      <c r="FE5" t="s">
        <v>34</v>
      </c>
      <c r="FF5" t="str">
        <f>"MIRYS Mateusz Piotr"</f>
        <v>MIRYS Mateusz Piotr</v>
      </c>
      <c r="FG5" t="str">
        <f>"DESPERAK Izabela Barbara"</f>
        <v>DESPERAK Izabela Barbara</v>
      </c>
      <c r="FH5" t="str">
        <f>"HAJNCEL Paweł Wojciech"</f>
        <v>HAJNCEL Paweł Wojciech</v>
      </c>
      <c r="FI5" t="str">
        <f>"MUSIELAK Karolina Jolanta"</f>
        <v>MUSIELAK Karolina Jolanta</v>
      </c>
      <c r="FJ5" t="str">
        <f>"MARZEC Waldemar"</f>
        <v>MARZEC Waldemar</v>
      </c>
      <c r="FK5" t="str">
        <f>"GROBLEWSKA-DURAJSKA Bogusława Maria"</f>
        <v>GROBLEWSKA-DURAJSKA Bogusława Maria</v>
      </c>
      <c r="FL5" t="str">
        <f>"DOBROWOLSKI Dawid"</f>
        <v>DOBROWOLSKI Dawid</v>
      </c>
      <c r="FM5" t="str">
        <f>"KRYSIAK Wioleta Magdalena"</f>
        <v>KRYSIAK Wioleta Magdalena</v>
      </c>
      <c r="FN5" t="str">
        <f>"ORZECHOWSKI Tomasz"</f>
        <v>ORZECHOWSKI Tomasz</v>
      </c>
      <c r="FO5" t="str">
        <f>"ADAMSKA Teresa Maria"</f>
        <v>ADAMSKA Teresa Maria</v>
      </c>
      <c r="FP5" t="s">
        <v>35</v>
      </c>
    </row>
    <row r="6" spans="1:172" ht="14.25">
      <c r="A6">
        <v>1</v>
      </c>
      <c r="B6" t="str">
        <f aca="true" t="shared" si="0" ref="B6:B33">"100101"</f>
        <v>100101</v>
      </c>
      <c r="C6" t="str">
        <f aca="true" t="shared" si="1" ref="C6:C33">"m. Bełchatów"</f>
        <v>m. Bełchatów</v>
      </c>
      <c r="D6" t="str">
        <f aca="true" t="shared" si="2" ref="D6:D37">"bełchatowski"</f>
        <v>bełchatowski</v>
      </c>
      <c r="E6" t="str">
        <f aca="true" t="shared" si="3" ref="E6:E69">"łódzkie"</f>
        <v>łódzkie</v>
      </c>
      <c r="F6">
        <v>1</v>
      </c>
      <c r="G6" t="str">
        <f>"Szkoła Podstawowa Nr 3, ul. Sienkiewicza 25, 97-400 Bełchatów"</f>
        <v>Szkoła Podstawowa Nr 3, ul. Sienkiewicza 25, 97-400 Bełchatów</v>
      </c>
      <c r="H6">
        <v>2188</v>
      </c>
      <c r="I6">
        <v>2188</v>
      </c>
      <c r="J6">
        <v>0</v>
      </c>
      <c r="K6">
        <v>1540</v>
      </c>
      <c r="L6">
        <v>1020</v>
      </c>
      <c r="M6">
        <v>520</v>
      </c>
      <c r="N6">
        <v>520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520</v>
      </c>
      <c r="Z6">
        <v>0</v>
      </c>
      <c r="AA6">
        <v>0</v>
      </c>
      <c r="AB6">
        <v>520</v>
      </c>
      <c r="AC6">
        <v>23</v>
      </c>
      <c r="AD6">
        <v>497</v>
      </c>
      <c r="AE6">
        <v>6</v>
      </c>
      <c r="AF6">
        <v>2</v>
      </c>
      <c r="AG6">
        <v>2</v>
      </c>
      <c r="AH6">
        <v>0</v>
      </c>
      <c r="AI6">
        <v>0</v>
      </c>
      <c r="AJ6">
        <v>1</v>
      </c>
      <c r="AK6">
        <v>1</v>
      </c>
      <c r="AL6">
        <v>0</v>
      </c>
      <c r="AM6">
        <v>0</v>
      </c>
      <c r="AN6">
        <v>0</v>
      </c>
      <c r="AO6">
        <v>0</v>
      </c>
      <c r="AP6">
        <v>6</v>
      </c>
      <c r="AQ6">
        <v>20</v>
      </c>
      <c r="AR6">
        <v>11</v>
      </c>
      <c r="AS6">
        <v>2</v>
      </c>
      <c r="AT6">
        <v>0</v>
      </c>
      <c r="AU6">
        <v>0</v>
      </c>
      <c r="AV6">
        <v>0</v>
      </c>
      <c r="AW6">
        <v>0</v>
      </c>
      <c r="AX6">
        <v>2</v>
      </c>
      <c r="AY6">
        <v>0</v>
      </c>
      <c r="AZ6">
        <v>3</v>
      </c>
      <c r="BA6">
        <v>2</v>
      </c>
      <c r="BB6">
        <v>20</v>
      </c>
      <c r="BC6">
        <v>63</v>
      </c>
      <c r="BD6">
        <v>9</v>
      </c>
      <c r="BE6">
        <v>3</v>
      </c>
      <c r="BF6">
        <v>0</v>
      </c>
      <c r="BG6">
        <v>3</v>
      </c>
      <c r="BH6">
        <v>1</v>
      </c>
      <c r="BI6">
        <v>0</v>
      </c>
      <c r="BJ6">
        <v>44</v>
      </c>
      <c r="BK6">
        <v>0</v>
      </c>
      <c r="BL6">
        <v>0</v>
      </c>
      <c r="BM6">
        <v>3</v>
      </c>
      <c r="BN6">
        <v>63</v>
      </c>
      <c r="BO6">
        <v>214</v>
      </c>
      <c r="BP6">
        <v>164</v>
      </c>
      <c r="BQ6">
        <v>6</v>
      </c>
      <c r="BR6">
        <v>14</v>
      </c>
      <c r="BS6">
        <v>11</v>
      </c>
      <c r="BT6">
        <v>0</v>
      </c>
      <c r="BU6">
        <v>4</v>
      </c>
      <c r="BV6">
        <v>2</v>
      </c>
      <c r="BW6">
        <v>5</v>
      </c>
      <c r="BX6">
        <v>4</v>
      </c>
      <c r="BY6">
        <v>4</v>
      </c>
      <c r="BZ6">
        <v>214</v>
      </c>
      <c r="CA6">
        <v>14</v>
      </c>
      <c r="CB6">
        <v>7</v>
      </c>
      <c r="CC6">
        <v>2</v>
      </c>
      <c r="CD6">
        <v>0</v>
      </c>
      <c r="CE6">
        <v>0</v>
      </c>
      <c r="CF6">
        <v>1</v>
      </c>
      <c r="CG6">
        <v>0</v>
      </c>
      <c r="CH6">
        <v>1</v>
      </c>
      <c r="CI6">
        <v>0</v>
      </c>
      <c r="CJ6">
        <v>3</v>
      </c>
      <c r="CK6">
        <v>0</v>
      </c>
      <c r="CL6">
        <v>14</v>
      </c>
      <c r="CM6">
        <v>6</v>
      </c>
      <c r="CN6">
        <v>5</v>
      </c>
      <c r="CO6">
        <v>0</v>
      </c>
      <c r="CP6">
        <v>0</v>
      </c>
      <c r="CQ6">
        <v>0</v>
      </c>
      <c r="CR6">
        <v>0</v>
      </c>
      <c r="CS6">
        <v>1</v>
      </c>
      <c r="CT6">
        <v>0</v>
      </c>
      <c r="CU6">
        <v>0</v>
      </c>
      <c r="CV6">
        <v>0</v>
      </c>
      <c r="CW6">
        <v>0</v>
      </c>
      <c r="CX6">
        <v>6</v>
      </c>
      <c r="CY6">
        <v>40</v>
      </c>
      <c r="CZ6">
        <v>25</v>
      </c>
      <c r="DA6">
        <v>4</v>
      </c>
      <c r="DB6">
        <v>0</v>
      </c>
      <c r="DC6">
        <v>0</v>
      </c>
      <c r="DD6">
        <v>0</v>
      </c>
      <c r="DE6">
        <v>3</v>
      </c>
      <c r="DF6">
        <v>1</v>
      </c>
      <c r="DG6">
        <v>2</v>
      </c>
      <c r="DH6">
        <v>2</v>
      </c>
      <c r="DI6">
        <v>3</v>
      </c>
      <c r="DJ6">
        <v>40</v>
      </c>
      <c r="DK6">
        <v>125</v>
      </c>
      <c r="DL6">
        <v>70</v>
      </c>
      <c r="DM6">
        <v>7</v>
      </c>
      <c r="DN6">
        <v>0</v>
      </c>
      <c r="DO6">
        <v>1</v>
      </c>
      <c r="DP6">
        <v>0</v>
      </c>
      <c r="DQ6">
        <v>0</v>
      </c>
      <c r="DR6">
        <v>45</v>
      </c>
      <c r="DS6">
        <v>1</v>
      </c>
      <c r="DT6">
        <v>1</v>
      </c>
      <c r="DU6">
        <v>0</v>
      </c>
      <c r="DV6">
        <v>125</v>
      </c>
      <c r="DW6">
        <v>3</v>
      </c>
      <c r="DX6">
        <v>2</v>
      </c>
      <c r="DY6">
        <v>0</v>
      </c>
      <c r="DZ6">
        <v>0</v>
      </c>
      <c r="EA6">
        <v>0</v>
      </c>
      <c r="EB6">
        <v>0</v>
      </c>
      <c r="EC6">
        <v>1</v>
      </c>
      <c r="ED6">
        <v>0</v>
      </c>
      <c r="EE6">
        <v>0</v>
      </c>
      <c r="EF6">
        <v>0</v>
      </c>
      <c r="EG6">
        <v>0</v>
      </c>
      <c r="EH6">
        <v>3</v>
      </c>
      <c r="EI6">
        <v>3</v>
      </c>
      <c r="EJ6">
        <v>0</v>
      </c>
      <c r="EK6">
        <v>2</v>
      </c>
      <c r="EL6">
        <v>0</v>
      </c>
      <c r="EM6">
        <v>0</v>
      </c>
      <c r="EN6">
        <v>1</v>
      </c>
      <c r="EO6">
        <v>0</v>
      </c>
      <c r="EP6">
        <v>0</v>
      </c>
      <c r="EQ6">
        <v>0</v>
      </c>
      <c r="ER6">
        <v>3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3</v>
      </c>
      <c r="FF6">
        <v>1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2</v>
      </c>
      <c r="FP6">
        <v>3</v>
      </c>
    </row>
    <row r="7" spans="1:172" ht="14.25">
      <c r="A7">
        <v>2</v>
      </c>
      <c r="B7" t="str">
        <f t="shared" si="0"/>
        <v>100101</v>
      </c>
      <c r="C7" t="str">
        <f t="shared" si="1"/>
        <v>m. Bełchatów</v>
      </c>
      <c r="D7" t="str">
        <f t="shared" si="2"/>
        <v>bełchatowski</v>
      </c>
      <c r="E7" t="str">
        <f t="shared" si="3"/>
        <v>łódzkie</v>
      </c>
      <c r="F7">
        <v>2</v>
      </c>
      <c r="G7" t="str">
        <f>"Szkoła Podstawowa Nr 3, ul. Sienkiewicza 25, 97-400 Bełchatów"</f>
        <v>Szkoła Podstawowa Nr 3, ul. Sienkiewicza 25, 97-400 Bełchatów</v>
      </c>
      <c r="H7">
        <v>2191</v>
      </c>
      <c r="I7">
        <v>2191</v>
      </c>
      <c r="J7">
        <v>0</v>
      </c>
      <c r="K7">
        <v>1540</v>
      </c>
      <c r="L7">
        <v>910</v>
      </c>
      <c r="M7">
        <v>630</v>
      </c>
      <c r="N7">
        <v>630</v>
      </c>
      <c r="O7">
        <v>0</v>
      </c>
      <c r="P7">
        <v>0</v>
      </c>
      <c r="Q7">
        <v>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630</v>
      </c>
      <c r="Z7">
        <v>0</v>
      </c>
      <c r="AA7">
        <v>0</v>
      </c>
      <c r="AB7">
        <v>630</v>
      </c>
      <c r="AC7">
        <v>21</v>
      </c>
      <c r="AD7">
        <v>609</v>
      </c>
      <c r="AE7">
        <v>14</v>
      </c>
      <c r="AF7">
        <v>5</v>
      </c>
      <c r="AG7">
        <v>4</v>
      </c>
      <c r="AH7">
        <v>2</v>
      </c>
      <c r="AI7">
        <v>0</v>
      </c>
      <c r="AJ7">
        <v>0</v>
      </c>
      <c r="AK7">
        <v>0</v>
      </c>
      <c r="AL7">
        <v>0</v>
      </c>
      <c r="AM7">
        <v>1</v>
      </c>
      <c r="AN7">
        <v>0</v>
      </c>
      <c r="AO7">
        <v>2</v>
      </c>
      <c r="AP7">
        <v>14</v>
      </c>
      <c r="AQ7">
        <v>12</v>
      </c>
      <c r="AR7">
        <v>7</v>
      </c>
      <c r="AS7">
        <v>1</v>
      </c>
      <c r="AT7">
        <v>0</v>
      </c>
      <c r="AU7">
        <v>0</v>
      </c>
      <c r="AV7">
        <v>1</v>
      </c>
      <c r="AW7">
        <v>1</v>
      </c>
      <c r="AX7">
        <v>0</v>
      </c>
      <c r="AY7">
        <v>0</v>
      </c>
      <c r="AZ7">
        <v>0</v>
      </c>
      <c r="BA7">
        <v>2</v>
      </c>
      <c r="BB7">
        <v>12</v>
      </c>
      <c r="BC7">
        <v>67</v>
      </c>
      <c r="BD7">
        <v>9</v>
      </c>
      <c r="BE7">
        <v>6</v>
      </c>
      <c r="BF7">
        <v>0</v>
      </c>
      <c r="BG7">
        <v>0</v>
      </c>
      <c r="BH7">
        <v>1</v>
      </c>
      <c r="BI7">
        <v>3</v>
      </c>
      <c r="BJ7">
        <v>40</v>
      </c>
      <c r="BK7">
        <v>0</v>
      </c>
      <c r="BL7">
        <v>1</v>
      </c>
      <c r="BM7">
        <v>7</v>
      </c>
      <c r="BN7">
        <v>67</v>
      </c>
      <c r="BO7">
        <v>230</v>
      </c>
      <c r="BP7">
        <v>180</v>
      </c>
      <c r="BQ7">
        <v>6</v>
      </c>
      <c r="BR7">
        <v>9</v>
      </c>
      <c r="BS7">
        <v>14</v>
      </c>
      <c r="BT7">
        <v>0</v>
      </c>
      <c r="BU7">
        <v>9</v>
      </c>
      <c r="BV7">
        <v>4</v>
      </c>
      <c r="BW7">
        <v>2</v>
      </c>
      <c r="BX7">
        <v>1</v>
      </c>
      <c r="BY7">
        <v>5</v>
      </c>
      <c r="BZ7">
        <v>230</v>
      </c>
      <c r="CA7">
        <v>7</v>
      </c>
      <c r="CB7">
        <v>2</v>
      </c>
      <c r="CC7">
        <v>2</v>
      </c>
      <c r="CD7">
        <v>1</v>
      </c>
      <c r="CE7">
        <v>0</v>
      </c>
      <c r="CF7">
        <v>0</v>
      </c>
      <c r="CG7">
        <v>2</v>
      </c>
      <c r="CH7">
        <v>0</v>
      </c>
      <c r="CI7">
        <v>0</v>
      </c>
      <c r="CJ7">
        <v>0</v>
      </c>
      <c r="CK7">
        <v>0</v>
      </c>
      <c r="CL7">
        <v>7</v>
      </c>
      <c r="CM7">
        <v>12</v>
      </c>
      <c r="CN7">
        <v>8</v>
      </c>
      <c r="CO7">
        <v>2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12</v>
      </c>
      <c r="CY7">
        <v>72</v>
      </c>
      <c r="CZ7">
        <v>41</v>
      </c>
      <c r="DA7">
        <v>6</v>
      </c>
      <c r="DB7">
        <v>2</v>
      </c>
      <c r="DC7">
        <v>3</v>
      </c>
      <c r="DD7">
        <v>2</v>
      </c>
      <c r="DE7">
        <v>3</v>
      </c>
      <c r="DF7">
        <v>4</v>
      </c>
      <c r="DG7">
        <v>2</v>
      </c>
      <c r="DH7">
        <v>5</v>
      </c>
      <c r="DI7">
        <v>4</v>
      </c>
      <c r="DJ7">
        <v>72</v>
      </c>
      <c r="DK7">
        <v>178</v>
      </c>
      <c r="DL7">
        <v>85</v>
      </c>
      <c r="DM7">
        <v>7</v>
      </c>
      <c r="DN7">
        <v>0</v>
      </c>
      <c r="DO7">
        <v>0</v>
      </c>
      <c r="DP7">
        <v>0</v>
      </c>
      <c r="DQ7">
        <v>0</v>
      </c>
      <c r="DR7">
        <v>81</v>
      </c>
      <c r="DS7">
        <v>0</v>
      </c>
      <c r="DT7">
        <v>2</v>
      </c>
      <c r="DU7">
        <v>3</v>
      </c>
      <c r="DV7">
        <v>178</v>
      </c>
      <c r="DW7">
        <v>12</v>
      </c>
      <c r="DX7">
        <v>2</v>
      </c>
      <c r="DY7">
        <v>0</v>
      </c>
      <c r="DZ7">
        <v>0</v>
      </c>
      <c r="EA7">
        <v>0</v>
      </c>
      <c r="EB7">
        <v>2</v>
      </c>
      <c r="EC7">
        <v>6</v>
      </c>
      <c r="ED7">
        <v>0</v>
      </c>
      <c r="EE7">
        <v>1</v>
      </c>
      <c r="EF7">
        <v>1</v>
      </c>
      <c r="EG7">
        <v>0</v>
      </c>
      <c r="EH7">
        <v>12</v>
      </c>
      <c r="EI7">
        <v>1</v>
      </c>
      <c r="EJ7">
        <v>0</v>
      </c>
      <c r="EK7">
        <v>0</v>
      </c>
      <c r="EL7">
        <v>0</v>
      </c>
      <c r="EM7">
        <v>0</v>
      </c>
      <c r="EN7">
        <v>0</v>
      </c>
      <c r="EO7">
        <v>1</v>
      </c>
      <c r="EP7">
        <v>0</v>
      </c>
      <c r="EQ7">
        <v>0</v>
      </c>
      <c r="ER7">
        <v>1</v>
      </c>
      <c r="ES7">
        <v>1</v>
      </c>
      <c r="ET7">
        <v>1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1</v>
      </c>
      <c r="FE7">
        <v>3</v>
      </c>
      <c r="FF7">
        <v>0</v>
      </c>
      <c r="FG7">
        <v>1</v>
      </c>
      <c r="FH7">
        <v>0</v>
      </c>
      <c r="FI7">
        <v>1</v>
      </c>
      <c r="FJ7">
        <v>0</v>
      </c>
      <c r="FK7">
        <v>0</v>
      </c>
      <c r="FL7">
        <v>0</v>
      </c>
      <c r="FM7">
        <v>1</v>
      </c>
      <c r="FN7">
        <v>0</v>
      </c>
      <c r="FO7">
        <v>0</v>
      </c>
      <c r="FP7">
        <v>3</v>
      </c>
    </row>
    <row r="8" spans="1:172" ht="14.25">
      <c r="A8">
        <v>3</v>
      </c>
      <c r="B8" t="str">
        <f t="shared" si="0"/>
        <v>100101</v>
      </c>
      <c r="C8" t="str">
        <f t="shared" si="1"/>
        <v>m. Bełchatów</v>
      </c>
      <c r="D8" t="str">
        <f t="shared" si="2"/>
        <v>bełchatowski</v>
      </c>
      <c r="E8" t="str">
        <f t="shared" si="3"/>
        <v>łódzkie</v>
      </c>
      <c r="F8">
        <v>3</v>
      </c>
      <c r="G8" t="str">
        <f>"Budynek PGM, ul. Czyżewskiego 7, 97-400 Bełchatów"</f>
        <v>Budynek PGM, ul. Czyżewskiego 7, 97-400 Bełchatów</v>
      </c>
      <c r="H8">
        <v>2012</v>
      </c>
      <c r="I8">
        <v>2012</v>
      </c>
      <c r="J8">
        <v>0</v>
      </c>
      <c r="K8">
        <v>1410</v>
      </c>
      <c r="L8">
        <v>961</v>
      </c>
      <c r="M8">
        <v>449</v>
      </c>
      <c r="N8">
        <v>449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449</v>
      </c>
      <c r="Z8">
        <v>0</v>
      </c>
      <c r="AA8">
        <v>0</v>
      </c>
      <c r="AB8">
        <v>449</v>
      </c>
      <c r="AC8">
        <v>10</v>
      </c>
      <c r="AD8">
        <v>439</v>
      </c>
      <c r="AE8">
        <v>10</v>
      </c>
      <c r="AF8">
        <v>6</v>
      </c>
      <c r="AG8">
        <v>1</v>
      </c>
      <c r="AH8">
        <v>0</v>
      </c>
      <c r="AI8">
        <v>1</v>
      </c>
      <c r="AJ8">
        <v>1</v>
      </c>
      <c r="AK8">
        <v>0</v>
      </c>
      <c r="AL8">
        <v>0</v>
      </c>
      <c r="AM8">
        <v>0</v>
      </c>
      <c r="AN8">
        <v>1</v>
      </c>
      <c r="AO8">
        <v>0</v>
      </c>
      <c r="AP8">
        <v>10</v>
      </c>
      <c r="AQ8">
        <v>11</v>
      </c>
      <c r="AR8">
        <v>9</v>
      </c>
      <c r="AS8">
        <v>0</v>
      </c>
      <c r="AT8">
        <v>0</v>
      </c>
      <c r="AU8">
        <v>0</v>
      </c>
      <c r="AV8">
        <v>0</v>
      </c>
      <c r="AW8">
        <v>1</v>
      </c>
      <c r="AX8">
        <v>1</v>
      </c>
      <c r="AY8">
        <v>0</v>
      </c>
      <c r="AZ8">
        <v>0</v>
      </c>
      <c r="BA8">
        <v>0</v>
      </c>
      <c r="BB8">
        <v>11</v>
      </c>
      <c r="BC8">
        <v>53</v>
      </c>
      <c r="BD8">
        <v>8</v>
      </c>
      <c r="BE8">
        <v>2</v>
      </c>
      <c r="BF8">
        <v>0</v>
      </c>
      <c r="BG8">
        <v>0</v>
      </c>
      <c r="BH8">
        <v>3</v>
      </c>
      <c r="BI8">
        <v>0</v>
      </c>
      <c r="BJ8">
        <v>31</v>
      </c>
      <c r="BK8">
        <v>0</v>
      </c>
      <c r="BL8">
        <v>2</v>
      </c>
      <c r="BM8">
        <v>7</v>
      </c>
      <c r="BN8">
        <v>53</v>
      </c>
      <c r="BO8">
        <v>182</v>
      </c>
      <c r="BP8">
        <v>139</v>
      </c>
      <c r="BQ8">
        <v>9</v>
      </c>
      <c r="BR8">
        <v>12</v>
      </c>
      <c r="BS8">
        <v>3</v>
      </c>
      <c r="BT8">
        <v>1</v>
      </c>
      <c r="BU8">
        <v>4</v>
      </c>
      <c r="BV8">
        <v>4</v>
      </c>
      <c r="BW8">
        <v>6</v>
      </c>
      <c r="BX8">
        <v>2</v>
      </c>
      <c r="BY8">
        <v>2</v>
      </c>
      <c r="BZ8">
        <v>182</v>
      </c>
      <c r="CA8">
        <v>4</v>
      </c>
      <c r="CB8">
        <v>2</v>
      </c>
      <c r="CC8">
        <v>1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1</v>
      </c>
      <c r="CL8">
        <v>4</v>
      </c>
      <c r="CM8">
        <v>13</v>
      </c>
      <c r="CN8">
        <v>8</v>
      </c>
      <c r="CO8">
        <v>0</v>
      </c>
      <c r="CP8">
        <v>0</v>
      </c>
      <c r="CQ8">
        <v>2</v>
      </c>
      <c r="CR8">
        <v>0</v>
      </c>
      <c r="CS8">
        <v>0</v>
      </c>
      <c r="CT8">
        <v>0</v>
      </c>
      <c r="CU8">
        <v>0</v>
      </c>
      <c r="CV8">
        <v>0</v>
      </c>
      <c r="CW8">
        <v>3</v>
      </c>
      <c r="CX8">
        <v>13</v>
      </c>
      <c r="CY8">
        <v>31</v>
      </c>
      <c r="CZ8">
        <v>21</v>
      </c>
      <c r="DA8">
        <v>4</v>
      </c>
      <c r="DB8">
        <v>1</v>
      </c>
      <c r="DC8">
        <v>1</v>
      </c>
      <c r="DD8">
        <v>0</v>
      </c>
      <c r="DE8">
        <v>0</v>
      </c>
      <c r="DF8">
        <v>0</v>
      </c>
      <c r="DG8">
        <v>0</v>
      </c>
      <c r="DH8">
        <v>1</v>
      </c>
      <c r="DI8">
        <v>3</v>
      </c>
      <c r="DJ8">
        <v>31</v>
      </c>
      <c r="DK8">
        <v>120</v>
      </c>
      <c r="DL8">
        <v>60</v>
      </c>
      <c r="DM8">
        <v>5</v>
      </c>
      <c r="DN8">
        <v>2</v>
      </c>
      <c r="DO8">
        <v>0</v>
      </c>
      <c r="DP8">
        <v>3</v>
      </c>
      <c r="DQ8">
        <v>2</v>
      </c>
      <c r="DR8">
        <v>44</v>
      </c>
      <c r="DS8">
        <v>2</v>
      </c>
      <c r="DT8">
        <v>1</v>
      </c>
      <c r="DU8">
        <v>1</v>
      </c>
      <c r="DV8">
        <v>120</v>
      </c>
      <c r="DW8">
        <v>11</v>
      </c>
      <c r="DX8">
        <v>1</v>
      </c>
      <c r="DY8">
        <v>5</v>
      </c>
      <c r="DZ8">
        <v>0</v>
      </c>
      <c r="EA8">
        <v>0</v>
      </c>
      <c r="EB8">
        <v>0</v>
      </c>
      <c r="EC8">
        <v>3</v>
      </c>
      <c r="ED8">
        <v>1</v>
      </c>
      <c r="EE8">
        <v>1</v>
      </c>
      <c r="EF8">
        <v>0</v>
      </c>
      <c r="EG8">
        <v>0</v>
      </c>
      <c r="EH8">
        <v>11</v>
      </c>
      <c r="EI8">
        <v>2</v>
      </c>
      <c r="EJ8">
        <v>0</v>
      </c>
      <c r="EK8">
        <v>1</v>
      </c>
      <c r="EL8">
        <v>0</v>
      </c>
      <c r="EM8">
        <v>1</v>
      </c>
      <c r="EN8">
        <v>0</v>
      </c>
      <c r="EO8">
        <v>0</v>
      </c>
      <c r="EP8">
        <v>0</v>
      </c>
      <c r="EQ8">
        <v>0</v>
      </c>
      <c r="ER8">
        <v>2</v>
      </c>
      <c r="ES8">
        <v>1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1</v>
      </c>
      <c r="FB8">
        <v>0</v>
      </c>
      <c r="FC8">
        <v>0</v>
      </c>
      <c r="FD8">
        <v>1</v>
      </c>
      <c r="FE8">
        <v>1</v>
      </c>
      <c r="FF8">
        <v>0</v>
      </c>
      <c r="FG8">
        <v>1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1</v>
      </c>
    </row>
    <row r="9" spans="1:172" ht="14.25">
      <c r="A9">
        <v>4</v>
      </c>
      <c r="B9" t="str">
        <f t="shared" si="0"/>
        <v>100101</v>
      </c>
      <c r="C9" t="str">
        <f t="shared" si="1"/>
        <v>m. Bełchatów</v>
      </c>
      <c r="D9" t="str">
        <f t="shared" si="2"/>
        <v>bełchatowski</v>
      </c>
      <c r="E9" t="str">
        <f t="shared" si="3"/>
        <v>łódzkie</v>
      </c>
      <c r="F9">
        <v>4</v>
      </c>
      <c r="G9" t="str">
        <f>"Przedszkole Samorządowe Nr 4, Osiedle 1 Maja 8, 97-400 Bełchatów"</f>
        <v>Przedszkole Samorządowe Nr 4, Osiedle 1 Maja 8, 97-400 Bełchatów</v>
      </c>
      <c r="H9">
        <v>2196</v>
      </c>
      <c r="I9">
        <v>2196</v>
      </c>
      <c r="J9">
        <v>0</v>
      </c>
      <c r="K9">
        <v>1540</v>
      </c>
      <c r="L9">
        <v>1014</v>
      </c>
      <c r="M9">
        <v>526</v>
      </c>
      <c r="N9">
        <v>526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526</v>
      </c>
      <c r="Z9">
        <v>0</v>
      </c>
      <c r="AA9">
        <v>0</v>
      </c>
      <c r="AB9">
        <v>526</v>
      </c>
      <c r="AC9">
        <v>13</v>
      </c>
      <c r="AD9">
        <v>513</v>
      </c>
      <c r="AE9">
        <v>14</v>
      </c>
      <c r="AF9">
        <v>7</v>
      </c>
      <c r="AG9">
        <v>3</v>
      </c>
      <c r="AH9">
        <v>1</v>
      </c>
      <c r="AI9">
        <v>1</v>
      </c>
      <c r="AJ9">
        <v>0</v>
      </c>
      <c r="AK9">
        <v>0</v>
      </c>
      <c r="AL9">
        <v>0</v>
      </c>
      <c r="AM9">
        <v>1</v>
      </c>
      <c r="AN9">
        <v>0</v>
      </c>
      <c r="AO9">
        <v>1</v>
      </c>
      <c r="AP9">
        <v>14</v>
      </c>
      <c r="AQ9">
        <v>4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0</v>
      </c>
      <c r="BA9">
        <v>1</v>
      </c>
      <c r="BB9">
        <v>4</v>
      </c>
      <c r="BC9">
        <v>73</v>
      </c>
      <c r="BD9">
        <v>8</v>
      </c>
      <c r="BE9">
        <v>1</v>
      </c>
      <c r="BF9">
        <v>1</v>
      </c>
      <c r="BG9">
        <v>3</v>
      </c>
      <c r="BH9">
        <v>0</v>
      </c>
      <c r="BI9">
        <v>0</v>
      </c>
      <c r="BJ9">
        <v>52</v>
      </c>
      <c r="BK9">
        <v>0</v>
      </c>
      <c r="BL9">
        <v>0</v>
      </c>
      <c r="BM9">
        <v>8</v>
      </c>
      <c r="BN9">
        <v>73</v>
      </c>
      <c r="BO9">
        <v>224</v>
      </c>
      <c r="BP9">
        <v>173</v>
      </c>
      <c r="BQ9">
        <v>8</v>
      </c>
      <c r="BR9">
        <v>8</v>
      </c>
      <c r="BS9">
        <v>7</v>
      </c>
      <c r="BT9">
        <v>4</v>
      </c>
      <c r="BU9">
        <v>10</v>
      </c>
      <c r="BV9">
        <v>4</v>
      </c>
      <c r="BW9">
        <v>7</v>
      </c>
      <c r="BX9">
        <v>2</v>
      </c>
      <c r="BY9">
        <v>1</v>
      </c>
      <c r="BZ9">
        <v>224</v>
      </c>
      <c r="CA9">
        <v>11</v>
      </c>
      <c r="CB9">
        <v>6</v>
      </c>
      <c r="CC9">
        <v>2</v>
      </c>
      <c r="CD9">
        <v>1</v>
      </c>
      <c r="CE9">
        <v>0</v>
      </c>
      <c r="CF9">
        <v>0</v>
      </c>
      <c r="CG9">
        <v>0</v>
      </c>
      <c r="CH9">
        <v>0</v>
      </c>
      <c r="CI9">
        <v>1</v>
      </c>
      <c r="CJ9">
        <v>0</v>
      </c>
      <c r="CK9">
        <v>1</v>
      </c>
      <c r="CL9">
        <v>11</v>
      </c>
      <c r="CM9">
        <v>4</v>
      </c>
      <c r="CN9">
        <v>3</v>
      </c>
      <c r="CO9">
        <v>1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4</v>
      </c>
      <c r="CY9">
        <v>34</v>
      </c>
      <c r="CZ9">
        <v>25</v>
      </c>
      <c r="DA9">
        <v>3</v>
      </c>
      <c r="DB9">
        <v>1</v>
      </c>
      <c r="DC9">
        <v>0</v>
      </c>
      <c r="DD9">
        <v>0</v>
      </c>
      <c r="DE9">
        <v>0</v>
      </c>
      <c r="DF9">
        <v>0</v>
      </c>
      <c r="DG9">
        <v>1</v>
      </c>
      <c r="DH9">
        <v>2</v>
      </c>
      <c r="DI9">
        <v>2</v>
      </c>
      <c r="DJ9">
        <v>34</v>
      </c>
      <c r="DK9">
        <v>126</v>
      </c>
      <c r="DL9">
        <v>65</v>
      </c>
      <c r="DM9">
        <v>6</v>
      </c>
      <c r="DN9">
        <v>0</v>
      </c>
      <c r="DO9">
        <v>4</v>
      </c>
      <c r="DP9">
        <v>1</v>
      </c>
      <c r="DQ9">
        <v>0</v>
      </c>
      <c r="DR9">
        <v>49</v>
      </c>
      <c r="DS9">
        <v>0</v>
      </c>
      <c r="DT9">
        <v>1</v>
      </c>
      <c r="DU9">
        <v>0</v>
      </c>
      <c r="DV9">
        <v>126</v>
      </c>
      <c r="DW9">
        <v>11</v>
      </c>
      <c r="DX9">
        <v>1</v>
      </c>
      <c r="DY9">
        <v>4</v>
      </c>
      <c r="DZ9">
        <v>0</v>
      </c>
      <c r="EA9">
        <v>0</v>
      </c>
      <c r="EB9">
        <v>0</v>
      </c>
      <c r="EC9">
        <v>1</v>
      </c>
      <c r="ED9">
        <v>3</v>
      </c>
      <c r="EE9">
        <v>1</v>
      </c>
      <c r="EF9">
        <v>0</v>
      </c>
      <c r="EG9">
        <v>1</v>
      </c>
      <c r="EH9">
        <v>11</v>
      </c>
      <c r="EI9">
        <v>5</v>
      </c>
      <c r="EJ9">
        <v>3</v>
      </c>
      <c r="EK9">
        <v>2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5</v>
      </c>
      <c r="ES9">
        <v>4</v>
      </c>
      <c r="ET9">
        <v>0</v>
      </c>
      <c r="EU9">
        <v>1</v>
      </c>
      <c r="EV9">
        <v>0</v>
      </c>
      <c r="EW9">
        <v>0</v>
      </c>
      <c r="EX9">
        <v>1</v>
      </c>
      <c r="EY9">
        <v>0</v>
      </c>
      <c r="EZ9">
        <v>0</v>
      </c>
      <c r="FA9">
        <v>2</v>
      </c>
      <c r="FB9">
        <v>0</v>
      </c>
      <c r="FC9">
        <v>0</v>
      </c>
      <c r="FD9">
        <v>4</v>
      </c>
      <c r="FE9">
        <v>3</v>
      </c>
      <c r="FF9">
        <v>0</v>
      </c>
      <c r="FG9">
        <v>1</v>
      </c>
      <c r="FH9">
        <v>1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1</v>
      </c>
      <c r="FP9">
        <v>3</v>
      </c>
    </row>
    <row r="10" spans="1:172" ht="14.25">
      <c r="A10">
        <v>5</v>
      </c>
      <c r="B10" t="str">
        <f t="shared" si="0"/>
        <v>100101</v>
      </c>
      <c r="C10" t="str">
        <f t="shared" si="1"/>
        <v>m. Bełchatów</v>
      </c>
      <c r="D10" t="str">
        <f t="shared" si="2"/>
        <v>bełchatowski</v>
      </c>
      <c r="E10" t="str">
        <f t="shared" si="3"/>
        <v>łódzkie</v>
      </c>
      <c r="F10">
        <v>5</v>
      </c>
      <c r="G10" t="str">
        <f>"Szkoła Podstawowa Nr 12, ul. W. Budryka 7, 97-400 Bełchatów"</f>
        <v>Szkoła Podstawowa Nr 12, ul. W. Budryka 7, 97-400 Bełchatów</v>
      </c>
      <c r="H10">
        <v>2392</v>
      </c>
      <c r="I10">
        <v>2392</v>
      </c>
      <c r="J10">
        <v>0</v>
      </c>
      <c r="K10">
        <v>1679</v>
      </c>
      <c r="L10">
        <v>1073</v>
      </c>
      <c r="M10">
        <v>606</v>
      </c>
      <c r="N10">
        <v>606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606</v>
      </c>
      <c r="Z10">
        <v>0</v>
      </c>
      <c r="AA10">
        <v>0</v>
      </c>
      <c r="AB10">
        <v>606</v>
      </c>
      <c r="AC10">
        <v>22</v>
      </c>
      <c r="AD10">
        <v>584</v>
      </c>
      <c r="AE10">
        <v>18</v>
      </c>
      <c r="AF10">
        <v>4</v>
      </c>
      <c r="AG10">
        <v>4</v>
      </c>
      <c r="AH10">
        <v>1</v>
      </c>
      <c r="AI10">
        <v>1</v>
      </c>
      <c r="AJ10">
        <v>0</v>
      </c>
      <c r="AK10">
        <v>0</v>
      </c>
      <c r="AL10">
        <v>2</v>
      </c>
      <c r="AM10">
        <v>0</v>
      </c>
      <c r="AN10">
        <v>5</v>
      </c>
      <c r="AO10">
        <v>1</v>
      </c>
      <c r="AP10">
        <v>18</v>
      </c>
      <c r="AQ10">
        <v>13</v>
      </c>
      <c r="AR10">
        <v>6</v>
      </c>
      <c r="AS10">
        <v>1</v>
      </c>
      <c r="AT10">
        <v>0</v>
      </c>
      <c r="AU10">
        <v>0</v>
      </c>
      <c r="AV10">
        <v>3</v>
      </c>
      <c r="AW10">
        <v>1</v>
      </c>
      <c r="AX10">
        <v>0</v>
      </c>
      <c r="AY10">
        <v>0</v>
      </c>
      <c r="AZ10">
        <v>1</v>
      </c>
      <c r="BA10">
        <v>1</v>
      </c>
      <c r="BB10">
        <v>13</v>
      </c>
      <c r="BC10">
        <v>68</v>
      </c>
      <c r="BD10">
        <v>5</v>
      </c>
      <c r="BE10">
        <v>2</v>
      </c>
      <c r="BF10">
        <v>0</v>
      </c>
      <c r="BG10">
        <v>0</v>
      </c>
      <c r="BH10">
        <v>0</v>
      </c>
      <c r="BI10">
        <v>5</v>
      </c>
      <c r="BJ10">
        <v>49</v>
      </c>
      <c r="BK10">
        <v>0</v>
      </c>
      <c r="BL10">
        <v>0</v>
      </c>
      <c r="BM10">
        <v>7</v>
      </c>
      <c r="BN10">
        <v>68</v>
      </c>
      <c r="BO10">
        <v>253</v>
      </c>
      <c r="BP10">
        <v>187</v>
      </c>
      <c r="BQ10">
        <v>12</v>
      </c>
      <c r="BR10">
        <v>16</v>
      </c>
      <c r="BS10">
        <v>6</v>
      </c>
      <c r="BT10">
        <v>1</v>
      </c>
      <c r="BU10">
        <v>10</v>
      </c>
      <c r="BV10">
        <v>8</v>
      </c>
      <c r="BW10">
        <v>4</v>
      </c>
      <c r="BX10">
        <v>3</v>
      </c>
      <c r="BY10">
        <v>6</v>
      </c>
      <c r="BZ10">
        <v>253</v>
      </c>
      <c r="CA10">
        <v>11</v>
      </c>
      <c r="CB10">
        <v>5</v>
      </c>
      <c r="CC10">
        <v>3</v>
      </c>
      <c r="CD10">
        <v>1</v>
      </c>
      <c r="CE10">
        <v>0</v>
      </c>
      <c r="CF10">
        <v>2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11</v>
      </c>
      <c r="CM10">
        <v>13</v>
      </c>
      <c r="CN10">
        <v>8</v>
      </c>
      <c r="CO10">
        <v>1</v>
      </c>
      <c r="CP10">
        <v>2</v>
      </c>
      <c r="CQ10">
        <v>0</v>
      </c>
      <c r="CR10">
        <v>0</v>
      </c>
      <c r="CS10">
        <v>0</v>
      </c>
      <c r="CT10">
        <v>0</v>
      </c>
      <c r="CU10">
        <v>2</v>
      </c>
      <c r="CV10">
        <v>0</v>
      </c>
      <c r="CW10">
        <v>0</v>
      </c>
      <c r="CX10">
        <v>13</v>
      </c>
      <c r="CY10">
        <v>56</v>
      </c>
      <c r="CZ10">
        <v>41</v>
      </c>
      <c r="DA10">
        <v>6</v>
      </c>
      <c r="DB10">
        <v>0</v>
      </c>
      <c r="DC10">
        <v>2</v>
      </c>
      <c r="DD10">
        <v>0</v>
      </c>
      <c r="DE10">
        <v>3</v>
      </c>
      <c r="DF10">
        <v>1</v>
      </c>
      <c r="DG10">
        <v>1</v>
      </c>
      <c r="DH10">
        <v>0</v>
      </c>
      <c r="DI10">
        <v>2</v>
      </c>
      <c r="DJ10">
        <v>56</v>
      </c>
      <c r="DK10">
        <v>140</v>
      </c>
      <c r="DL10">
        <v>69</v>
      </c>
      <c r="DM10">
        <v>10</v>
      </c>
      <c r="DN10">
        <v>0</v>
      </c>
      <c r="DO10">
        <v>1</v>
      </c>
      <c r="DP10">
        <v>1</v>
      </c>
      <c r="DQ10">
        <v>1</v>
      </c>
      <c r="DR10">
        <v>55</v>
      </c>
      <c r="DS10">
        <v>0</v>
      </c>
      <c r="DT10">
        <v>1</v>
      </c>
      <c r="DU10">
        <v>2</v>
      </c>
      <c r="DV10">
        <v>140</v>
      </c>
      <c r="DW10">
        <v>7</v>
      </c>
      <c r="DX10">
        <v>1</v>
      </c>
      <c r="DY10">
        <v>4</v>
      </c>
      <c r="DZ10">
        <v>1</v>
      </c>
      <c r="EA10">
        <v>0</v>
      </c>
      <c r="EB10">
        <v>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7</v>
      </c>
      <c r="EI10">
        <v>1</v>
      </c>
      <c r="EJ10">
        <v>0</v>
      </c>
      <c r="EK10">
        <v>0</v>
      </c>
      <c r="EL10">
        <v>0</v>
      </c>
      <c r="EM10">
        <v>1</v>
      </c>
      <c r="EN10">
        <v>0</v>
      </c>
      <c r="EO10">
        <v>0</v>
      </c>
      <c r="EP10">
        <v>0</v>
      </c>
      <c r="EQ10">
        <v>0</v>
      </c>
      <c r="ER10">
        <v>1</v>
      </c>
      <c r="ES10">
        <v>3</v>
      </c>
      <c r="ET10">
        <v>3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3</v>
      </c>
      <c r="FE10">
        <v>1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1</v>
      </c>
      <c r="FN10">
        <v>0</v>
      </c>
      <c r="FO10">
        <v>0</v>
      </c>
      <c r="FP10">
        <v>1</v>
      </c>
    </row>
    <row r="11" spans="1:172" ht="14.25">
      <c r="A11">
        <v>6</v>
      </c>
      <c r="B11" t="str">
        <f t="shared" si="0"/>
        <v>100101</v>
      </c>
      <c r="C11" t="str">
        <f t="shared" si="1"/>
        <v>m. Bełchatów</v>
      </c>
      <c r="D11" t="str">
        <f t="shared" si="2"/>
        <v>bełchatowski</v>
      </c>
      <c r="E11" t="str">
        <f t="shared" si="3"/>
        <v>łódzkie</v>
      </c>
      <c r="F11">
        <v>6</v>
      </c>
      <c r="G11" t="str">
        <f>"Szkoła Podstawowa Nr 12, ul. W. Budryka 7, 97-400 Bełchatów"</f>
        <v>Szkoła Podstawowa Nr 12, ul. W. Budryka 7, 97-400 Bełchatów</v>
      </c>
      <c r="H11">
        <v>2251</v>
      </c>
      <c r="I11">
        <v>2251</v>
      </c>
      <c r="J11">
        <v>0</v>
      </c>
      <c r="K11">
        <v>1567</v>
      </c>
      <c r="L11">
        <v>948</v>
      </c>
      <c r="M11">
        <v>619</v>
      </c>
      <c r="N11">
        <v>619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619</v>
      </c>
      <c r="Z11">
        <v>0</v>
      </c>
      <c r="AA11">
        <v>0</v>
      </c>
      <c r="AB11">
        <v>619</v>
      </c>
      <c r="AC11">
        <v>17</v>
      </c>
      <c r="AD11">
        <v>602</v>
      </c>
      <c r="AE11">
        <v>10</v>
      </c>
      <c r="AF11">
        <v>6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1</v>
      </c>
      <c r="AN11">
        <v>1</v>
      </c>
      <c r="AO11">
        <v>1</v>
      </c>
      <c r="AP11">
        <v>10</v>
      </c>
      <c r="AQ11">
        <v>21</v>
      </c>
      <c r="AR11">
        <v>11</v>
      </c>
      <c r="AS11">
        <v>3</v>
      </c>
      <c r="AT11">
        <v>0</v>
      </c>
      <c r="AU11">
        <v>1</v>
      </c>
      <c r="AV11">
        <v>0</v>
      </c>
      <c r="AW11">
        <v>3</v>
      </c>
      <c r="AX11">
        <v>0</v>
      </c>
      <c r="AY11">
        <v>0</v>
      </c>
      <c r="AZ11">
        <v>2</v>
      </c>
      <c r="BA11">
        <v>1</v>
      </c>
      <c r="BB11">
        <v>21</v>
      </c>
      <c r="BC11">
        <v>63</v>
      </c>
      <c r="BD11">
        <v>9</v>
      </c>
      <c r="BE11">
        <v>2</v>
      </c>
      <c r="BF11">
        <v>0</v>
      </c>
      <c r="BG11">
        <v>0</v>
      </c>
      <c r="BH11">
        <v>0</v>
      </c>
      <c r="BI11">
        <v>1</v>
      </c>
      <c r="BJ11">
        <v>43</v>
      </c>
      <c r="BK11">
        <v>0</v>
      </c>
      <c r="BL11">
        <v>0</v>
      </c>
      <c r="BM11">
        <v>8</v>
      </c>
      <c r="BN11">
        <v>63</v>
      </c>
      <c r="BO11">
        <v>276</v>
      </c>
      <c r="BP11">
        <v>193</v>
      </c>
      <c r="BQ11">
        <v>13</v>
      </c>
      <c r="BR11">
        <v>15</v>
      </c>
      <c r="BS11">
        <v>7</v>
      </c>
      <c r="BT11">
        <v>4</v>
      </c>
      <c r="BU11">
        <v>7</v>
      </c>
      <c r="BV11">
        <v>3</v>
      </c>
      <c r="BW11">
        <v>14</v>
      </c>
      <c r="BX11">
        <v>9</v>
      </c>
      <c r="BY11">
        <v>11</v>
      </c>
      <c r="BZ11">
        <v>276</v>
      </c>
      <c r="CA11">
        <v>5</v>
      </c>
      <c r="CB11">
        <v>2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3</v>
      </c>
      <c r="CK11">
        <v>0</v>
      </c>
      <c r="CL11">
        <v>5</v>
      </c>
      <c r="CM11">
        <v>16</v>
      </c>
      <c r="CN11">
        <v>11</v>
      </c>
      <c r="CO11">
        <v>2</v>
      </c>
      <c r="CP11">
        <v>0</v>
      </c>
      <c r="CQ11">
        <v>2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16</v>
      </c>
      <c r="CY11">
        <v>60</v>
      </c>
      <c r="CZ11">
        <v>43</v>
      </c>
      <c r="DA11">
        <v>6</v>
      </c>
      <c r="DB11">
        <v>1</v>
      </c>
      <c r="DC11">
        <v>2</v>
      </c>
      <c r="DD11">
        <v>1</v>
      </c>
      <c r="DE11">
        <v>2</v>
      </c>
      <c r="DF11">
        <v>0</v>
      </c>
      <c r="DG11">
        <v>2</v>
      </c>
      <c r="DH11">
        <v>2</v>
      </c>
      <c r="DI11">
        <v>1</v>
      </c>
      <c r="DJ11">
        <v>60</v>
      </c>
      <c r="DK11">
        <v>126</v>
      </c>
      <c r="DL11">
        <v>63</v>
      </c>
      <c r="DM11">
        <v>5</v>
      </c>
      <c r="DN11">
        <v>1</v>
      </c>
      <c r="DO11">
        <v>0</v>
      </c>
      <c r="DP11">
        <v>1</v>
      </c>
      <c r="DQ11">
        <v>1</v>
      </c>
      <c r="DR11">
        <v>53</v>
      </c>
      <c r="DS11">
        <v>0</v>
      </c>
      <c r="DT11">
        <v>0</v>
      </c>
      <c r="DU11">
        <v>2</v>
      </c>
      <c r="DV11">
        <v>126</v>
      </c>
      <c r="DW11">
        <v>16</v>
      </c>
      <c r="DX11">
        <v>8</v>
      </c>
      <c r="DY11">
        <v>6</v>
      </c>
      <c r="DZ11">
        <v>0</v>
      </c>
      <c r="EA11">
        <v>0</v>
      </c>
      <c r="EB11">
        <v>1</v>
      </c>
      <c r="EC11">
        <v>0</v>
      </c>
      <c r="ED11">
        <v>1</v>
      </c>
      <c r="EE11">
        <v>0</v>
      </c>
      <c r="EF11">
        <v>0</v>
      </c>
      <c r="EG11">
        <v>0</v>
      </c>
      <c r="EH11">
        <v>16</v>
      </c>
      <c r="EI11">
        <v>3</v>
      </c>
      <c r="EJ11">
        <v>2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3</v>
      </c>
      <c r="ES11">
        <v>3</v>
      </c>
      <c r="ET11">
        <v>0</v>
      </c>
      <c r="EU11">
        <v>0</v>
      </c>
      <c r="EV11">
        <v>1</v>
      </c>
      <c r="EW11">
        <v>1</v>
      </c>
      <c r="EX11">
        <v>0</v>
      </c>
      <c r="EY11">
        <v>0</v>
      </c>
      <c r="EZ11">
        <v>0</v>
      </c>
      <c r="FA11">
        <v>1</v>
      </c>
      <c r="FB11">
        <v>0</v>
      </c>
      <c r="FC11">
        <v>0</v>
      </c>
      <c r="FD11">
        <v>3</v>
      </c>
      <c r="FE11">
        <v>3</v>
      </c>
      <c r="FF11">
        <v>0</v>
      </c>
      <c r="FG11">
        <v>2</v>
      </c>
      <c r="FH11">
        <v>0</v>
      </c>
      <c r="FI11">
        <v>0</v>
      </c>
      <c r="FJ11">
        <v>0</v>
      </c>
      <c r="FK11">
        <v>0</v>
      </c>
      <c r="FL11">
        <v>1</v>
      </c>
      <c r="FM11">
        <v>0</v>
      </c>
      <c r="FN11">
        <v>0</v>
      </c>
      <c r="FO11">
        <v>0</v>
      </c>
      <c r="FP11">
        <v>3</v>
      </c>
    </row>
    <row r="12" spans="1:172" ht="14.25">
      <c r="A12">
        <v>7</v>
      </c>
      <c r="B12" t="str">
        <f t="shared" si="0"/>
        <v>100101</v>
      </c>
      <c r="C12" t="str">
        <f t="shared" si="1"/>
        <v>m. Bełchatów</v>
      </c>
      <c r="D12" t="str">
        <f t="shared" si="2"/>
        <v>bełchatowski</v>
      </c>
      <c r="E12" t="str">
        <f t="shared" si="3"/>
        <v>łódzkie</v>
      </c>
      <c r="F12">
        <v>7</v>
      </c>
      <c r="G12" t="str">
        <f>"Przedszkole Samorządowe Nr 6, ul. W. Budryka 12, 97-400 Bełchatów"</f>
        <v>Przedszkole Samorządowe Nr 6, ul. W. Budryka 12, 97-400 Bełchatów</v>
      </c>
      <c r="H12">
        <v>588</v>
      </c>
      <c r="I12">
        <v>588</v>
      </c>
      <c r="J12">
        <v>0</v>
      </c>
      <c r="K12">
        <v>410</v>
      </c>
      <c r="L12">
        <v>285</v>
      </c>
      <c r="M12">
        <v>125</v>
      </c>
      <c r="N12">
        <v>125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125</v>
      </c>
      <c r="Z12">
        <v>0</v>
      </c>
      <c r="AA12">
        <v>0</v>
      </c>
      <c r="AB12">
        <v>125</v>
      </c>
      <c r="AC12">
        <v>3</v>
      </c>
      <c r="AD12">
        <v>122</v>
      </c>
      <c r="AE12">
        <v>3</v>
      </c>
      <c r="AF12">
        <v>1</v>
      </c>
      <c r="AG12">
        <v>0</v>
      </c>
      <c r="AH12">
        <v>1</v>
      </c>
      <c r="AI12">
        <v>0</v>
      </c>
      <c r="AJ12">
        <v>0</v>
      </c>
      <c r="AK12">
        <v>0</v>
      </c>
      <c r="AL12">
        <v>1</v>
      </c>
      <c r="AM12">
        <v>0</v>
      </c>
      <c r="AN12">
        <v>0</v>
      </c>
      <c r="AO12">
        <v>0</v>
      </c>
      <c r="AP12">
        <v>3</v>
      </c>
      <c r="AQ12">
        <v>2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2</v>
      </c>
      <c r="AY12">
        <v>0</v>
      </c>
      <c r="AZ12">
        <v>0</v>
      </c>
      <c r="BA12">
        <v>0</v>
      </c>
      <c r="BB12">
        <v>2</v>
      </c>
      <c r="BC12">
        <v>19</v>
      </c>
      <c r="BD12">
        <v>4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12</v>
      </c>
      <c r="BK12">
        <v>0</v>
      </c>
      <c r="BL12">
        <v>1</v>
      </c>
      <c r="BM12">
        <v>2</v>
      </c>
      <c r="BN12">
        <v>19</v>
      </c>
      <c r="BO12">
        <v>58</v>
      </c>
      <c r="BP12">
        <v>43</v>
      </c>
      <c r="BQ12">
        <v>1</v>
      </c>
      <c r="BR12">
        <v>1</v>
      </c>
      <c r="BS12">
        <v>4</v>
      </c>
      <c r="BT12">
        <v>1</v>
      </c>
      <c r="BU12">
        <v>5</v>
      </c>
      <c r="BV12">
        <v>0</v>
      </c>
      <c r="BW12">
        <v>1</v>
      </c>
      <c r="BX12">
        <v>0</v>
      </c>
      <c r="BY12">
        <v>2</v>
      </c>
      <c r="BZ12">
        <v>58</v>
      </c>
      <c r="CA12">
        <v>3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2</v>
      </c>
      <c r="CJ12">
        <v>0</v>
      </c>
      <c r="CK12">
        <v>1</v>
      </c>
      <c r="CL12">
        <v>3</v>
      </c>
      <c r="CM12">
        <v>1</v>
      </c>
      <c r="CN12">
        <v>0</v>
      </c>
      <c r="CO12">
        <v>0</v>
      </c>
      <c r="CP12">
        <v>1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</v>
      </c>
      <c r="CY12">
        <v>4</v>
      </c>
      <c r="CZ12">
        <v>2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2</v>
      </c>
      <c r="DI12">
        <v>0</v>
      </c>
      <c r="DJ12">
        <v>4</v>
      </c>
      <c r="DK12">
        <v>29</v>
      </c>
      <c r="DL12">
        <v>16</v>
      </c>
      <c r="DM12">
        <v>2</v>
      </c>
      <c r="DN12">
        <v>0</v>
      </c>
      <c r="DO12">
        <v>1</v>
      </c>
      <c r="DP12">
        <v>1</v>
      </c>
      <c r="DQ12">
        <v>1</v>
      </c>
      <c r="DR12">
        <v>8</v>
      </c>
      <c r="DS12">
        <v>0</v>
      </c>
      <c r="DT12">
        <v>0</v>
      </c>
      <c r="DU12">
        <v>0</v>
      </c>
      <c r="DV12">
        <v>29</v>
      </c>
      <c r="DW12">
        <v>2</v>
      </c>
      <c r="DX12">
        <v>2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2</v>
      </c>
      <c r="EI12">
        <v>1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1</v>
      </c>
      <c r="EQ12">
        <v>0</v>
      </c>
      <c r="ER12">
        <v>1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</row>
    <row r="13" spans="1:172" ht="14.25">
      <c r="A13">
        <v>8</v>
      </c>
      <c r="B13" t="str">
        <f t="shared" si="0"/>
        <v>100101</v>
      </c>
      <c r="C13" t="str">
        <f t="shared" si="1"/>
        <v>m. Bełchatów</v>
      </c>
      <c r="D13" t="str">
        <f t="shared" si="2"/>
        <v>bełchatowski</v>
      </c>
      <c r="E13" t="str">
        <f t="shared" si="3"/>
        <v>łódzkie</v>
      </c>
      <c r="F13">
        <v>8</v>
      </c>
      <c r="G13" t="str">
        <f>"Szkoła Podstawowa Nr 5, ul. Szkolna 10, 97-400 Bełchatów"</f>
        <v>Szkoła Podstawowa Nr 5, ul. Szkolna 10, 97-400 Bełchatów</v>
      </c>
      <c r="H13">
        <v>1726</v>
      </c>
      <c r="I13">
        <v>1726</v>
      </c>
      <c r="J13">
        <v>0</v>
      </c>
      <c r="K13">
        <v>1210</v>
      </c>
      <c r="L13">
        <v>732</v>
      </c>
      <c r="M13">
        <v>478</v>
      </c>
      <c r="N13">
        <v>478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478</v>
      </c>
      <c r="Z13">
        <v>0</v>
      </c>
      <c r="AA13">
        <v>0</v>
      </c>
      <c r="AB13">
        <v>478</v>
      </c>
      <c r="AC13">
        <v>11</v>
      </c>
      <c r="AD13">
        <v>467</v>
      </c>
      <c r="AE13">
        <v>21</v>
      </c>
      <c r="AF13">
        <v>6</v>
      </c>
      <c r="AG13">
        <v>1</v>
      </c>
      <c r="AH13">
        <v>8</v>
      </c>
      <c r="AI13">
        <v>0</v>
      </c>
      <c r="AJ13">
        <v>0</v>
      </c>
      <c r="AK13">
        <v>0</v>
      </c>
      <c r="AL13">
        <v>1</v>
      </c>
      <c r="AM13">
        <v>1</v>
      </c>
      <c r="AN13">
        <v>1</v>
      </c>
      <c r="AO13">
        <v>3</v>
      </c>
      <c r="AP13">
        <v>21</v>
      </c>
      <c r="AQ13">
        <v>16</v>
      </c>
      <c r="AR13">
        <v>10</v>
      </c>
      <c r="AS13">
        <v>1</v>
      </c>
      <c r="AT13">
        <v>0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3</v>
      </c>
      <c r="BB13">
        <v>16</v>
      </c>
      <c r="BC13">
        <v>46</v>
      </c>
      <c r="BD13">
        <v>8</v>
      </c>
      <c r="BE13">
        <v>0</v>
      </c>
      <c r="BF13">
        <v>0</v>
      </c>
      <c r="BG13">
        <v>0</v>
      </c>
      <c r="BH13">
        <v>2</v>
      </c>
      <c r="BI13">
        <v>0</v>
      </c>
      <c r="BJ13">
        <v>34</v>
      </c>
      <c r="BK13">
        <v>0</v>
      </c>
      <c r="BL13">
        <v>0</v>
      </c>
      <c r="BM13">
        <v>2</v>
      </c>
      <c r="BN13">
        <v>46</v>
      </c>
      <c r="BO13">
        <v>255</v>
      </c>
      <c r="BP13">
        <v>195</v>
      </c>
      <c r="BQ13">
        <v>10</v>
      </c>
      <c r="BR13">
        <v>9</v>
      </c>
      <c r="BS13">
        <v>12</v>
      </c>
      <c r="BT13">
        <v>2</v>
      </c>
      <c r="BU13">
        <v>7</v>
      </c>
      <c r="BV13">
        <v>6</v>
      </c>
      <c r="BW13">
        <v>5</v>
      </c>
      <c r="BX13">
        <v>2</v>
      </c>
      <c r="BY13">
        <v>7</v>
      </c>
      <c r="BZ13">
        <v>255</v>
      </c>
      <c r="CA13">
        <v>4</v>
      </c>
      <c r="CB13">
        <v>2</v>
      </c>
      <c r="CC13">
        <v>0</v>
      </c>
      <c r="CD13">
        <v>0</v>
      </c>
      <c r="CE13">
        <v>0</v>
      </c>
      <c r="CF13">
        <v>1</v>
      </c>
      <c r="CG13">
        <v>0</v>
      </c>
      <c r="CH13">
        <v>0</v>
      </c>
      <c r="CI13">
        <v>1</v>
      </c>
      <c r="CJ13">
        <v>0</v>
      </c>
      <c r="CK13">
        <v>0</v>
      </c>
      <c r="CL13">
        <v>4</v>
      </c>
      <c r="CM13">
        <v>16</v>
      </c>
      <c r="CN13">
        <v>6</v>
      </c>
      <c r="CO13">
        <v>4</v>
      </c>
      <c r="CP13">
        <v>1</v>
      </c>
      <c r="CQ13">
        <v>1</v>
      </c>
      <c r="CR13">
        <v>0</v>
      </c>
      <c r="CS13">
        <v>0</v>
      </c>
      <c r="CT13">
        <v>0</v>
      </c>
      <c r="CU13">
        <v>2</v>
      </c>
      <c r="CV13">
        <v>0</v>
      </c>
      <c r="CW13">
        <v>2</v>
      </c>
      <c r="CX13">
        <v>16</v>
      </c>
      <c r="CY13">
        <v>41</v>
      </c>
      <c r="CZ13">
        <v>29</v>
      </c>
      <c r="DA13">
        <v>3</v>
      </c>
      <c r="DB13">
        <v>1</v>
      </c>
      <c r="DC13">
        <v>0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3</v>
      </c>
      <c r="DJ13">
        <v>41</v>
      </c>
      <c r="DK13">
        <v>58</v>
      </c>
      <c r="DL13">
        <v>28</v>
      </c>
      <c r="DM13">
        <v>3</v>
      </c>
      <c r="DN13">
        <v>0</v>
      </c>
      <c r="DO13">
        <v>0</v>
      </c>
      <c r="DP13">
        <v>0</v>
      </c>
      <c r="DQ13">
        <v>0</v>
      </c>
      <c r="DR13">
        <v>26</v>
      </c>
      <c r="DS13">
        <v>0</v>
      </c>
      <c r="DT13">
        <v>0</v>
      </c>
      <c r="DU13">
        <v>1</v>
      </c>
      <c r="DV13">
        <v>58</v>
      </c>
      <c r="DW13">
        <v>6</v>
      </c>
      <c r="DX13">
        <v>4</v>
      </c>
      <c r="DY13">
        <v>0</v>
      </c>
      <c r="DZ13">
        <v>0</v>
      </c>
      <c r="EA13">
        <v>1</v>
      </c>
      <c r="EB13">
        <v>0</v>
      </c>
      <c r="EC13">
        <v>0</v>
      </c>
      <c r="ED13">
        <v>1</v>
      </c>
      <c r="EE13">
        <v>0</v>
      </c>
      <c r="EF13">
        <v>0</v>
      </c>
      <c r="EG13">
        <v>0</v>
      </c>
      <c r="EH13">
        <v>6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2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1</v>
      </c>
      <c r="EZ13">
        <v>0</v>
      </c>
      <c r="FA13">
        <v>1</v>
      </c>
      <c r="FB13">
        <v>0</v>
      </c>
      <c r="FC13">
        <v>0</v>
      </c>
      <c r="FD13">
        <v>2</v>
      </c>
      <c r="FE13">
        <v>2</v>
      </c>
      <c r="FF13">
        <v>0</v>
      </c>
      <c r="FG13">
        <v>1</v>
      </c>
      <c r="FH13">
        <v>0</v>
      </c>
      <c r="FI13">
        <v>0</v>
      </c>
      <c r="FJ13">
        <v>0</v>
      </c>
      <c r="FK13">
        <v>1</v>
      </c>
      <c r="FL13">
        <v>0</v>
      </c>
      <c r="FM13">
        <v>0</v>
      </c>
      <c r="FN13">
        <v>0</v>
      </c>
      <c r="FO13">
        <v>0</v>
      </c>
      <c r="FP13">
        <v>2</v>
      </c>
    </row>
    <row r="14" spans="1:172" ht="14.25">
      <c r="A14">
        <v>9</v>
      </c>
      <c r="B14" t="str">
        <f t="shared" si="0"/>
        <v>100101</v>
      </c>
      <c r="C14" t="str">
        <f t="shared" si="1"/>
        <v>m. Bełchatów</v>
      </c>
      <c r="D14" t="str">
        <f t="shared" si="2"/>
        <v>bełchatowski</v>
      </c>
      <c r="E14" t="str">
        <f t="shared" si="3"/>
        <v>łódzkie</v>
      </c>
      <c r="F14">
        <v>9</v>
      </c>
      <c r="G14" t="str">
        <f>"Szkoła Podstawowa Nr 13, ul. Słowackiego 8, 97-400 Bełchatów"</f>
        <v>Szkoła Podstawowa Nr 13, ul. Słowackiego 8, 97-400 Bełchatów</v>
      </c>
      <c r="H14">
        <v>2153</v>
      </c>
      <c r="I14">
        <v>2153</v>
      </c>
      <c r="J14">
        <v>0</v>
      </c>
      <c r="K14">
        <v>1510</v>
      </c>
      <c r="L14">
        <v>839</v>
      </c>
      <c r="M14">
        <v>671</v>
      </c>
      <c r="N14">
        <v>671</v>
      </c>
      <c r="O14">
        <v>0</v>
      </c>
      <c r="P14">
        <v>0</v>
      </c>
      <c r="Q14">
        <v>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671</v>
      </c>
      <c r="Z14">
        <v>0</v>
      </c>
      <c r="AA14">
        <v>0</v>
      </c>
      <c r="AB14">
        <v>671</v>
      </c>
      <c r="AC14">
        <v>37</v>
      </c>
      <c r="AD14">
        <v>634</v>
      </c>
      <c r="AE14">
        <v>20</v>
      </c>
      <c r="AF14">
        <v>5</v>
      </c>
      <c r="AG14">
        <v>2</v>
      </c>
      <c r="AH14">
        <v>1</v>
      </c>
      <c r="AI14">
        <v>2</v>
      </c>
      <c r="AJ14">
        <v>2</v>
      </c>
      <c r="AK14">
        <v>1</v>
      </c>
      <c r="AL14">
        <v>0</v>
      </c>
      <c r="AM14">
        <v>4</v>
      </c>
      <c r="AN14">
        <v>2</v>
      </c>
      <c r="AO14">
        <v>1</v>
      </c>
      <c r="AP14">
        <v>20</v>
      </c>
      <c r="AQ14">
        <v>19</v>
      </c>
      <c r="AR14">
        <v>10</v>
      </c>
      <c r="AS14">
        <v>2</v>
      </c>
      <c r="AT14">
        <v>2</v>
      </c>
      <c r="AU14">
        <v>0</v>
      </c>
      <c r="AV14">
        <v>0</v>
      </c>
      <c r="AW14">
        <v>1</v>
      </c>
      <c r="AX14">
        <v>1</v>
      </c>
      <c r="AY14">
        <v>1</v>
      </c>
      <c r="AZ14">
        <v>0</v>
      </c>
      <c r="BA14">
        <v>2</v>
      </c>
      <c r="BB14">
        <v>19</v>
      </c>
      <c r="BC14">
        <v>65</v>
      </c>
      <c r="BD14">
        <v>9</v>
      </c>
      <c r="BE14">
        <v>2</v>
      </c>
      <c r="BF14">
        <v>2</v>
      </c>
      <c r="BG14">
        <v>0</v>
      </c>
      <c r="BH14">
        <v>3</v>
      </c>
      <c r="BI14">
        <v>2</v>
      </c>
      <c r="BJ14">
        <v>42</v>
      </c>
      <c r="BK14">
        <v>0</v>
      </c>
      <c r="BL14">
        <v>1</v>
      </c>
      <c r="BM14">
        <v>4</v>
      </c>
      <c r="BN14">
        <v>65</v>
      </c>
      <c r="BO14">
        <v>242</v>
      </c>
      <c r="BP14">
        <v>188</v>
      </c>
      <c r="BQ14">
        <v>9</v>
      </c>
      <c r="BR14">
        <v>17</v>
      </c>
      <c r="BS14">
        <v>4</v>
      </c>
      <c r="BT14">
        <v>0</v>
      </c>
      <c r="BU14">
        <v>9</v>
      </c>
      <c r="BV14">
        <v>3</v>
      </c>
      <c r="BW14">
        <v>5</v>
      </c>
      <c r="BX14">
        <v>3</v>
      </c>
      <c r="BY14">
        <v>4</v>
      </c>
      <c r="BZ14">
        <v>242</v>
      </c>
      <c r="CA14">
        <v>3</v>
      </c>
      <c r="CB14">
        <v>3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3</v>
      </c>
      <c r="CM14">
        <v>10</v>
      </c>
      <c r="CN14">
        <v>8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2</v>
      </c>
      <c r="CV14">
        <v>0</v>
      </c>
      <c r="CW14">
        <v>0</v>
      </c>
      <c r="CX14">
        <v>10</v>
      </c>
      <c r="CY14">
        <v>65</v>
      </c>
      <c r="CZ14">
        <v>47</v>
      </c>
      <c r="DA14">
        <v>5</v>
      </c>
      <c r="DB14">
        <v>1</v>
      </c>
      <c r="DC14">
        <v>2</v>
      </c>
      <c r="DD14">
        <v>0</v>
      </c>
      <c r="DE14">
        <v>0</v>
      </c>
      <c r="DF14">
        <v>3</v>
      </c>
      <c r="DG14">
        <v>0</v>
      </c>
      <c r="DH14">
        <v>3</v>
      </c>
      <c r="DI14">
        <v>4</v>
      </c>
      <c r="DJ14">
        <v>65</v>
      </c>
      <c r="DK14">
        <v>187</v>
      </c>
      <c r="DL14">
        <v>99</v>
      </c>
      <c r="DM14">
        <v>16</v>
      </c>
      <c r="DN14">
        <v>0</v>
      </c>
      <c r="DO14">
        <v>1</v>
      </c>
      <c r="DP14">
        <v>2</v>
      </c>
      <c r="DQ14">
        <v>0</v>
      </c>
      <c r="DR14">
        <v>68</v>
      </c>
      <c r="DS14">
        <v>0</v>
      </c>
      <c r="DT14">
        <v>0</v>
      </c>
      <c r="DU14">
        <v>1</v>
      </c>
      <c r="DV14">
        <v>187</v>
      </c>
      <c r="DW14">
        <v>14</v>
      </c>
      <c r="DX14">
        <v>4</v>
      </c>
      <c r="DY14">
        <v>4</v>
      </c>
      <c r="DZ14">
        <v>0</v>
      </c>
      <c r="EA14">
        <v>0</v>
      </c>
      <c r="EB14">
        <v>0</v>
      </c>
      <c r="EC14">
        <v>6</v>
      </c>
      <c r="ED14">
        <v>0</v>
      </c>
      <c r="EE14">
        <v>0</v>
      </c>
      <c r="EF14">
        <v>0</v>
      </c>
      <c r="EG14">
        <v>0</v>
      </c>
      <c r="EH14">
        <v>14</v>
      </c>
      <c r="EI14">
        <v>5</v>
      </c>
      <c r="EJ14">
        <v>1</v>
      </c>
      <c r="EK14">
        <v>3</v>
      </c>
      <c r="EL14">
        <v>1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5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4</v>
      </c>
      <c r="FF14">
        <v>0</v>
      </c>
      <c r="FG14">
        <v>1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3</v>
      </c>
      <c r="FP14">
        <v>4</v>
      </c>
    </row>
    <row r="15" spans="1:172" ht="14.25">
      <c r="A15">
        <v>10</v>
      </c>
      <c r="B15" t="str">
        <f t="shared" si="0"/>
        <v>100101</v>
      </c>
      <c r="C15" t="str">
        <f t="shared" si="1"/>
        <v>m. Bełchatów</v>
      </c>
      <c r="D15" t="str">
        <f t="shared" si="2"/>
        <v>bełchatowski</v>
      </c>
      <c r="E15" t="str">
        <f t="shared" si="3"/>
        <v>łódzkie</v>
      </c>
      <c r="F15">
        <v>10</v>
      </c>
      <c r="G15" t="str">
        <f>"Przedszkole Samorządowe Nr 2, ul. Paderewskiego 3, 97-400 Bełchatów"</f>
        <v>Przedszkole Samorządowe Nr 2, ul. Paderewskiego 3, 97-400 Bełchatów</v>
      </c>
      <c r="H15">
        <v>1866</v>
      </c>
      <c r="I15">
        <v>1866</v>
      </c>
      <c r="J15">
        <v>0</v>
      </c>
      <c r="K15">
        <v>1310</v>
      </c>
      <c r="L15">
        <v>977</v>
      </c>
      <c r="M15">
        <v>333</v>
      </c>
      <c r="N15">
        <v>333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333</v>
      </c>
      <c r="Z15">
        <v>0</v>
      </c>
      <c r="AA15">
        <v>0</v>
      </c>
      <c r="AB15">
        <v>333</v>
      </c>
      <c r="AC15">
        <v>6</v>
      </c>
      <c r="AD15">
        <v>327</v>
      </c>
      <c r="AE15">
        <v>8</v>
      </c>
      <c r="AF15">
        <v>1</v>
      </c>
      <c r="AG15">
        <v>4</v>
      </c>
      <c r="AH15">
        <v>1</v>
      </c>
      <c r="AI15">
        <v>1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8</v>
      </c>
      <c r="AQ15">
        <v>17</v>
      </c>
      <c r="AR15">
        <v>12</v>
      </c>
      <c r="AS15">
        <v>2</v>
      </c>
      <c r="AT15">
        <v>0</v>
      </c>
      <c r="AU15">
        <v>0</v>
      </c>
      <c r="AV15">
        <v>1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17</v>
      </c>
      <c r="BC15">
        <v>37</v>
      </c>
      <c r="BD15">
        <v>6</v>
      </c>
      <c r="BE15">
        <v>0</v>
      </c>
      <c r="BF15">
        <v>0</v>
      </c>
      <c r="BG15">
        <v>1</v>
      </c>
      <c r="BH15">
        <v>0</v>
      </c>
      <c r="BI15">
        <v>0</v>
      </c>
      <c r="BJ15">
        <v>23</v>
      </c>
      <c r="BK15">
        <v>1</v>
      </c>
      <c r="BL15">
        <v>0</v>
      </c>
      <c r="BM15">
        <v>6</v>
      </c>
      <c r="BN15">
        <v>37</v>
      </c>
      <c r="BO15">
        <v>125</v>
      </c>
      <c r="BP15">
        <v>95</v>
      </c>
      <c r="BQ15">
        <v>7</v>
      </c>
      <c r="BR15">
        <v>6</v>
      </c>
      <c r="BS15">
        <v>5</v>
      </c>
      <c r="BT15">
        <v>0</v>
      </c>
      <c r="BU15">
        <v>1</v>
      </c>
      <c r="BV15">
        <v>1</v>
      </c>
      <c r="BW15">
        <v>3</v>
      </c>
      <c r="BX15">
        <v>2</v>
      </c>
      <c r="BY15">
        <v>5</v>
      </c>
      <c r="BZ15">
        <v>125</v>
      </c>
      <c r="CA15">
        <v>9</v>
      </c>
      <c r="CB15">
        <v>4</v>
      </c>
      <c r="CC15">
        <v>2</v>
      </c>
      <c r="CD15">
        <v>1</v>
      </c>
      <c r="CE15">
        <v>0</v>
      </c>
      <c r="CF15">
        <v>0</v>
      </c>
      <c r="CG15">
        <v>0</v>
      </c>
      <c r="CH15">
        <v>1</v>
      </c>
      <c r="CI15">
        <v>0</v>
      </c>
      <c r="CJ15">
        <v>1</v>
      </c>
      <c r="CK15">
        <v>0</v>
      </c>
      <c r="CL15">
        <v>9</v>
      </c>
      <c r="CM15">
        <v>5</v>
      </c>
      <c r="CN15">
        <v>5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5</v>
      </c>
      <c r="CY15">
        <v>27</v>
      </c>
      <c r="CZ15">
        <v>19</v>
      </c>
      <c r="DA15">
        <v>2</v>
      </c>
      <c r="DB15">
        <v>0</v>
      </c>
      <c r="DC15">
        <v>0</v>
      </c>
      <c r="DD15">
        <v>0</v>
      </c>
      <c r="DE15">
        <v>1</v>
      </c>
      <c r="DF15">
        <v>1</v>
      </c>
      <c r="DG15">
        <v>2</v>
      </c>
      <c r="DH15">
        <v>2</v>
      </c>
      <c r="DI15">
        <v>0</v>
      </c>
      <c r="DJ15">
        <v>27</v>
      </c>
      <c r="DK15">
        <v>89</v>
      </c>
      <c r="DL15">
        <v>61</v>
      </c>
      <c r="DM15">
        <v>7</v>
      </c>
      <c r="DN15">
        <v>0</v>
      </c>
      <c r="DO15">
        <v>0</v>
      </c>
      <c r="DP15">
        <v>1</v>
      </c>
      <c r="DQ15">
        <v>0</v>
      </c>
      <c r="DR15">
        <v>19</v>
      </c>
      <c r="DS15">
        <v>1</v>
      </c>
      <c r="DT15">
        <v>0</v>
      </c>
      <c r="DU15">
        <v>0</v>
      </c>
      <c r="DV15">
        <v>89</v>
      </c>
      <c r="DW15">
        <v>6</v>
      </c>
      <c r="DX15">
        <v>1</v>
      </c>
      <c r="DY15">
        <v>1</v>
      </c>
      <c r="DZ15">
        <v>0</v>
      </c>
      <c r="EA15">
        <v>1</v>
      </c>
      <c r="EB15">
        <v>1</v>
      </c>
      <c r="EC15">
        <v>1</v>
      </c>
      <c r="ED15">
        <v>1</v>
      </c>
      <c r="EE15">
        <v>0</v>
      </c>
      <c r="EF15">
        <v>0</v>
      </c>
      <c r="EG15">
        <v>0</v>
      </c>
      <c r="EH15">
        <v>6</v>
      </c>
      <c r="EI15">
        <v>3</v>
      </c>
      <c r="EJ15">
        <v>2</v>
      </c>
      <c r="EK15">
        <v>1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3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1</v>
      </c>
      <c r="FF15">
        <v>0</v>
      </c>
      <c r="FG15">
        <v>1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1</v>
      </c>
    </row>
    <row r="16" spans="1:172" ht="14.25">
      <c r="A16">
        <v>11</v>
      </c>
      <c r="B16" t="str">
        <f t="shared" si="0"/>
        <v>100101</v>
      </c>
      <c r="C16" t="str">
        <f t="shared" si="1"/>
        <v>m. Bełchatów</v>
      </c>
      <c r="D16" t="str">
        <f t="shared" si="2"/>
        <v>bełchatowski</v>
      </c>
      <c r="E16" t="str">
        <f t="shared" si="3"/>
        <v>łódzkie</v>
      </c>
      <c r="F16">
        <v>11</v>
      </c>
      <c r="G16" t="str">
        <f>"Szkoła Podstawowa Nr 13, ul. Słowackiego 8, 97-400 Bełchatów"</f>
        <v>Szkoła Podstawowa Nr 13, ul. Słowackiego 8, 97-400 Bełchatów</v>
      </c>
      <c r="H16">
        <v>1184</v>
      </c>
      <c r="I16">
        <v>1184</v>
      </c>
      <c r="J16">
        <v>0</v>
      </c>
      <c r="K16">
        <v>830</v>
      </c>
      <c r="L16">
        <v>517</v>
      </c>
      <c r="M16">
        <v>313</v>
      </c>
      <c r="N16">
        <v>313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313</v>
      </c>
      <c r="Z16">
        <v>0</v>
      </c>
      <c r="AA16">
        <v>0</v>
      </c>
      <c r="AB16">
        <v>313</v>
      </c>
      <c r="AC16">
        <v>12</v>
      </c>
      <c r="AD16">
        <v>301</v>
      </c>
      <c r="AE16">
        <v>11</v>
      </c>
      <c r="AF16">
        <v>5</v>
      </c>
      <c r="AG16">
        <v>3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1</v>
      </c>
      <c r="AP16">
        <v>11</v>
      </c>
      <c r="AQ16">
        <v>5</v>
      </c>
      <c r="AR16">
        <v>5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5</v>
      </c>
      <c r="BC16">
        <v>27</v>
      </c>
      <c r="BD16">
        <v>6</v>
      </c>
      <c r="BE16">
        <v>2</v>
      </c>
      <c r="BF16">
        <v>0</v>
      </c>
      <c r="BG16">
        <v>0</v>
      </c>
      <c r="BH16">
        <v>1</v>
      </c>
      <c r="BI16">
        <v>2</v>
      </c>
      <c r="BJ16">
        <v>11</v>
      </c>
      <c r="BK16">
        <v>0</v>
      </c>
      <c r="BL16">
        <v>0</v>
      </c>
      <c r="BM16">
        <v>5</v>
      </c>
      <c r="BN16">
        <v>27</v>
      </c>
      <c r="BO16">
        <v>146</v>
      </c>
      <c r="BP16">
        <v>102</v>
      </c>
      <c r="BQ16">
        <v>11</v>
      </c>
      <c r="BR16">
        <v>12</v>
      </c>
      <c r="BS16">
        <v>4</v>
      </c>
      <c r="BT16">
        <v>0</v>
      </c>
      <c r="BU16">
        <v>6</v>
      </c>
      <c r="BV16">
        <v>0</v>
      </c>
      <c r="BW16">
        <v>4</v>
      </c>
      <c r="BX16">
        <v>1</v>
      </c>
      <c r="BY16">
        <v>6</v>
      </c>
      <c r="BZ16">
        <v>146</v>
      </c>
      <c r="CA16">
        <v>3</v>
      </c>
      <c r="CB16">
        <v>1</v>
      </c>
      <c r="CC16">
        <v>1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1</v>
      </c>
      <c r="CK16">
        <v>0</v>
      </c>
      <c r="CL16">
        <v>3</v>
      </c>
      <c r="CM16">
        <v>2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2</v>
      </c>
      <c r="CY16">
        <v>33</v>
      </c>
      <c r="CZ16">
        <v>22</v>
      </c>
      <c r="DA16">
        <v>5</v>
      </c>
      <c r="DB16">
        <v>0</v>
      </c>
      <c r="DC16">
        <v>1</v>
      </c>
      <c r="DD16">
        <v>0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33</v>
      </c>
      <c r="DK16">
        <v>58</v>
      </c>
      <c r="DL16">
        <v>21</v>
      </c>
      <c r="DM16">
        <v>8</v>
      </c>
      <c r="DN16">
        <v>1</v>
      </c>
      <c r="DO16">
        <v>0</v>
      </c>
      <c r="DP16">
        <v>0</v>
      </c>
      <c r="DQ16">
        <v>3</v>
      </c>
      <c r="DR16">
        <v>25</v>
      </c>
      <c r="DS16">
        <v>0</v>
      </c>
      <c r="DT16">
        <v>0</v>
      </c>
      <c r="DU16">
        <v>0</v>
      </c>
      <c r="DV16">
        <v>58</v>
      </c>
      <c r="DW16">
        <v>11</v>
      </c>
      <c r="DX16">
        <v>3</v>
      </c>
      <c r="DY16">
        <v>4</v>
      </c>
      <c r="DZ16">
        <v>0</v>
      </c>
      <c r="EA16">
        <v>0</v>
      </c>
      <c r="EB16">
        <v>2</v>
      </c>
      <c r="EC16">
        <v>1</v>
      </c>
      <c r="ED16">
        <v>0</v>
      </c>
      <c r="EE16">
        <v>0</v>
      </c>
      <c r="EF16">
        <v>0</v>
      </c>
      <c r="EG16">
        <v>1</v>
      </c>
      <c r="EH16">
        <v>11</v>
      </c>
      <c r="EI16">
        <v>2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2</v>
      </c>
      <c r="ER16">
        <v>2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3</v>
      </c>
      <c r="FF16">
        <v>2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1</v>
      </c>
      <c r="FO16">
        <v>0</v>
      </c>
      <c r="FP16">
        <v>3</v>
      </c>
    </row>
    <row r="17" spans="1:172" ht="14.25">
      <c r="A17">
        <v>12</v>
      </c>
      <c r="B17" t="str">
        <f t="shared" si="0"/>
        <v>100101</v>
      </c>
      <c r="C17" t="str">
        <f t="shared" si="1"/>
        <v>m. Bełchatów</v>
      </c>
      <c r="D17" t="str">
        <f t="shared" si="2"/>
        <v>bełchatowski</v>
      </c>
      <c r="E17" t="str">
        <f t="shared" si="3"/>
        <v>łódzkie</v>
      </c>
      <c r="F17">
        <v>12</v>
      </c>
      <c r="G17" t="str">
        <f>"Zespół Szkolno-Przedszkolny Nr 9, Os. Dolnośląskie 204A, 97-400 Bełchatów"</f>
        <v>Zespół Szkolno-Przedszkolny Nr 9, Os. Dolnośląskie 204A, 97-400 Bełchatów</v>
      </c>
      <c r="H17">
        <v>1003</v>
      </c>
      <c r="I17">
        <v>1003</v>
      </c>
      <c r="J17">
        <v>0</v>
      </c>
      <c r="K17">
        <v>700</v>
      </c>
      <c r="L17">
        <v>433</v>
      </c>
      <c r="M17">
        <v>267</v>
      </c>
      <c r="N17">
        <v>267</v>
      </c>
      <c r="O17">
        <v>0</v>
      </c>
      <c r="P17">
        <v>0</v>
      </c>
      <c r="Q17">
        <v>3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267</v>
      </c>
      <c r="Z17">
        <v>0</v>
      </c>
      <c r="AA17">
        <v>0</v>
      </c>
      <c r="AB17">
        <v>267</v>
      </c>
      <c r="AC17">
        <v>8</v>
      </c>
      <c r="AD17">
        <v>259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1</v>
      </c>
      <c r="AQ17">
        <v>3</v>
      </c>
      <c r="AR17">
        <v>0</v>
      </c>
      <c r="AS17">
        <v>1</v>
      </c>
      <c r="AT17">
        <v>1</v>
      </c>
      <c r="AU17">
        <v>0</v>
      </c>
      <c r="AV17">
        <v>0</v>
      </c>
      <c r="AW17">
        <v>0</v>
      </c>
      <c r="AX17">
        <v>1</v>
      </c>
      <c r="AY17">
        <v>0</v>
      </c>
      <c r="AZ17">
        <v>0</v>
      </c>
      <c r="BA17">
        <v>0</v>
      </c>
      <c r="BB17">
        <v>3</v>
      </c>
      <c r="BC17">
        <v>29</v>
      </c>
      <c r="BD17">
        <v>8</v>
      </c>
      <c r="BE17">
        <v>3</v>
      </c>
      <c r="BF17">
        <v>0</v>
      </c>
      <c r="BG17">
        <v>0</v>
      </c>
      <c r="BH17">
        <v>0</v>
      </c>
      <c r="BI17">
        <v>2</v>
      </c>
      <c r="BJ17">
        <v>12</v>
      </c>
      <c r="BK17">
        <v>0</v>
      </c>
      <c r="BL17">
        <v>0</v>
      </c>
      <c r="BM17">
        <v>4</v>
      </c>
      <c r="BN17">
        <v>29</v>
      </c>
      <c r="BO17">
        <v>112</v>
      </c>
      <c r="BP17">
        <v>71</v>
      </c>
      <c r="BQ17">
        <v>11</v>
      </c>
      <c r="BR17">
        <v>7</v>
      </c>
      <c r="BS17">
        <v>9</v>
      </c>
      <c r="BT17">
        <v>1</v>
      </c>
      <c r="BU17">
        <v>3</v>
      </c>
      <c r="BV17">
        <v>4</v>
      </c>
      <c r="BW17">
        <v>1</v>
      </c>
      <c r="BX17">
        <v>3</v>
      </c>
      <c r="BY17">
        <v>2</v>
      </c>
      <c r="BZ17">
        <v>112</v>
      </c>
      <c r="CA17">
        <v>1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1</v>
      </c>
      <c r="CH17">
        <v>0</v>
      </c>
      <c r="CI17">
        <v>0</v>
      </c>
      <c r="CJ17">
        <v>0</v>
      </c>
      <c r="CK17">
        <v>0</v>
      </c>
      <c r="CL17">
        <v>1</v>
      </c>
      <c r="CM17">
        <v>2</v>
      </c>
      <c r="CN17">
        <v>0</v>
      </c>
      <c r="CO17">
        <v>0</v>
      </c>
      <c r="CP17">
        <v>0</v>
      </c>
      <c r="CQ17">
        <v>1</v>
      </c>
      <c r="CR17">
        <v>0</v>
      </c>
      <c r="CS17">
        <v>0</v>
      </c>
      <c r="CT17">
        <v>1</v>
      </c>
      <c r="CU17">
        <v>0</v>
      </c>
      <c r="CV17">
        <v>0</v>
      </c>
      <c r="CW17">
        <v>0</v>
      </c>
      <c r="CX17">
        <v>2</v>
      </c>
      <c r="CY17">
        <v>31</v>
      </c>
      <c r="CZ17">
        <v>23</v>
      </c>
      <c r="DA17">
        <v>2</v>
      </c>
      <c r="DB17">
        <v>1</v>
      </c>
      <c r="DC17">
        <v>1</v>
      </c>
      <c r="DD17">
        <v>1</v>
      </c>
      <c r="DE17">
        <v>0</v>
      </c>
      <c r="DF17">
        <v>1</v>
      </c>
      <c r="DG17">
        <v>0</v>
      </c>
      <c r="DH17">
        <v>2</v>
      </c>
      <c r="DI17">
        <v>0</v>
      </c>
      <c r="DJ17">
        <v>31</v>
      </c>
      <c r="DK17">
        <v>70</v>
      </c>
      <c r="DL17">
        <v>25</v>
      </c>
      <c r="DM17">
        <v>5</v>
      </c>
      <c r="DN17">
        <v>1</v>
      </c>
      <c r="DO17">
        <v>1</v>
      </c>
      <c r="DP17">
        <v>0</v>
      </c>
      <c r="DQ17">
        <v>3</v>
      </c>
      <c r="DR17">
        <v>35</v>
      </c>
      <c r="DS17">
        <v>0</v>
      </c>
      <c r="DT17">
        <v>0</v>
      </c>
      <c r="DU17">
        <v>0</v>
      </c>
      <c r="DV17">
        <v>70</v>
      </c>
      <c r="DW17">
        <v>6</v>
      </c>
      <c r="DX17">
        <v>0</v>
      </c>
      <c r="DY17">
        <v>5</v>
      </c>
      <c r="DZ17">
        <v>0</v>
      </c>
      <c r="EA17">
        <v>0</v>
      </c>
      <c r="EB17">
        <v>1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6</v>
      </c>
      <c r="EI17">
        <v>1</v>
      </c>
      <c r="EJ17">
        <v>0</v>
      </c>
      <c r="EK17">
        <v>1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1</v>
      </c>
      <c r="ES17">
        <v>1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1</v>
      </c>
      <c r="FB17">
        <v>0</v>
      </c>
      <c r="FC17">
        <v>0</v>
      </c>
      <c r="FD17">
        <v>1</v>
      </c>
      <c r="FE17">
        <v>2</v>
      </c>
      <c r="FF17">
        <v>0</v>
      </c>
      <c r="FG17">
        <v>1</v>
      </c>
      <c r="FH17">
        <v>0</v>
      </c>
      <c r="FI17">
        <v>0</v>
      </c>
      <c r="FJ17">
        <v>1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2</v>
      </c>
    </row>
    <row r="18" spans="1:172" ht="14.25">
      <c r="A18">
        <v>13</v>
      </c>
      <c r="B18" t="str">
        <f t="shared" si="0"/>
        <v>100101</v>
      </c>
      <c r="C18" t="str">
        <f t="shared" si="1"/>
        <v>m. Bełchatów</v>
      </c>
      <c r="D18" t="str">
        <f t="shared" si="2"/>
        <v>bełchatowski</v>
      </c>
      <c r="E18" t="str">
        <f t="shared" si="3"/>
        <v>łódzkie</v>
      </c>
      <c r="F18">
        <v>13</v>
      </c>
      <c r="G18" t="str">
        <f>"Publiczne Gimnazjum Nr 3, ul. Edwardów 5, 97-400 Bełchatów"</f>
        <v>Publiczne Gimnazjum Nr 3, ul. Edwardów 5, 97-400 Bełchatów</v>
      </c>
      <c r="H18">
        <v>2170</v>
      </c>
      <c r="I18">
        <v>2170</v>
      </c>
      <c r="J18">
        <v>0</v>
      </c>
      <c r="K18">
        <v>1520</v>
      </c>
      <c r="L18">
        <v>1016</v>
      </c>
      <c r="M18">
        <v>504</v>
      </c>
      <c r="N18">
        <v>504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504</v>
      </c>
      <c r="Z18">
        <v>0</v>
      </c>
      <c r="AA18">
        <v>0</v>
      </c>
      <c r="AB18">
        <v>504</v>
      </c>
      <c r="AC18">
        <v>25</v>
      </c>
      <c r="AD18">
        <v>479</v>
      </c>
      <c r="AE18">
        <v>19</v>
      </c>
      <c r="AF18">
        <v>9</v>
      </c>
      <c r="AG18">
        <v>2</v>
      </c>
      <c r="AH18">
        <v>1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7</v>
      </c>
      <c r="AP18">
        <v>19</v>
      </c>
      <c r="AQ18">
        <v>19</v>
      </c>
      <c r="AR18">
        <v>10</v>
      </c>
      <c r="AS18">
        <v>3</v>
      </c>
      <c r="AT18">
        <v>0</v>
      </c>
      <c r="AU18">
        <v>1</v>
      </c>
      <c r="AV18">
        <v>1</v>
      </c>
      <c r="AW18">
        <v>0</v>
      </c>
      <c r="AX18">
        <v>1</v>
      </c>
      <c r="AY18">
        <v>0</v>
      </c>
      <c r="AZ18">
        <v>2</v>
      </c>
      <c r="BA18">
        <v>1</v>
      </c>
      <c r="BB18">
        <v>19</v>
      </c>
      <c r="BC18">
        <v>46</v>
      </c>
      <c r="BD18">
        <v>9</v>
      </c>
      <c r="BE18">
        <v>2</v>
      </c>
      <c r="BF18">
        <v>0</v>
      </c>
      <c r="BG18">
        <v>1</v>
      </c>
      <c r="BH18">
        <v>1</v>
      </c>
      <c r="BI18">
        <v>0</v>
      </c>
      <c r="BJ18">
        <v>29</v>
      </c>
      <c r="BK18">
        <v>0</v>
      </c>
      <c r="BL18">
        <v>0</v>
      </c>
      <c r="BM18">
        <v>4</v>
      </c>
      <c r="BN18">
        <v>46</v>
      </c>
      <c r="BO18">
        <v>207</v>
      </c>
      <c r="BP18">
        <v>166</v>
      </c>
      <c r="BQ18">
        <v>16</v>
      </c>
      <c r="BR18">
        <v>6</v>
      </c>
      <c r="BS18">
        <v>7</v>
      </c>
      <c r="BT18">
        <v>0</v>
      </c>
      <c r="BU18">
        <v>3</v>
      </c>
      <c r="BV18">
        <v>0</v>
      </c>
      <c r="BW18">
        <v>2</v>
      </c>
      <c r="BX18">
        <v>1</v>
      </c>
      <c r="BY18">
        <v>6</v>
      </c>
      <c r="BZ18">
        <v>207</v>
      </c>
      <c r="CA18">
        <v>8</v>
      </c>
      <c r="CB18">
        <v>0</v>
      </c>
      <c r="CC18">
        <v>3</v>
      </c>
      <c r="CD18">
        <v>0</v>
      </c>
      <c r="CE18">
        <v>0</v>
      </c>
      <c r="CF18">
        <v>1</v>
      </c>
      <c r="CG18">
        <v>0</v>
      </c>
      <c r="CH18">
        <v>0</v>
      </c>
      <c r="CI18">
        <v>2</v>
      </c>
      <c r="CJ18">
        <v>0</v>
      </c>
      <c r="CK18">
        <v>2</v>
      </c>
      <c r="CL18">
        <v>8</v>
      </c>
      <c r="CM18">
        <v>7</v>
      </c>
      <c r="CN18">
        <v>4</v>
      </c>
      <c r="CO18">
        <v>0</v>
      </c>
      <c r="CP18">
        <v>0</v>
      </c>
      <c r="CQ18">
        <v>2</v>
      </c>
      <c r="CR18">
        <v>0</v>
      </c>
      <c r="CS18">
        <v>0</v>
      </c>
      <c r="CT18">
        <v>0</v>
      </c>
      <c r="CU18">
        <v>1</v>
      </c>
      <c r="CV18">
        <v>0</v>
      </c>
      <c r="CW18">
        <v>0</v>
      </c>
      <c r="CX18">
        <v>7</v>
      </c>
      <c r="CY18">
        <v>44</v>
      </c>
      <c r="CZ18">
        <v>29</v>
      </c>
      <c r="DA18">
        <v>3</v>
      </c>
      <c r="DB18">
        <v>0</v>
      </c>
      <c r="DC18">
        <v>0</v>
      </c>
      <c r="DD18">
        <v>1</v>
      </c>
      <c r="DE18">
        <v>1</v>
      </c>
      <c r="DF18">
        <v>1</v>
      </c>
      <c r="DG18">
        <v>2</v>
      </c>
      <c r="DH18">
        <v>2</v>
      </c>
      <c r="DI18">
        <v>5</v>
      </c>
      <c r="DJ18">
        <v>44</v>
      </c>
      <c r="DK18">
        <v>117</v>
      </c>
      <c r="DL18">
        <v>61</v>
      </c>
      <c r="DM18">
        <v>6</v>
      </c>
      <c r="DN18">
        <v>0</v>
      </c>
      <c r="DO18">
        <v>0</v>
      </c>
      <c r="DP18">
        <v>0</v>
      </c>
      <c r="DQ18">
        <v>0</v>
      </c>
      <c r="DR18">
        <v>48</v>
      </c>
      <c r="DS18">
        <v>1</v>
      </c>
      <c r="DT18">
        <v>0</v>
      </c>
      <c r="DU18">
        <v>1</v>
      </c>
      <c r="DV18">
        <v>117</v>
      </c>
      <c r="DW18">
        <v>7</v>
      </c>
      <c r="DX18">
        <v>0</v>
      </c>
      <c r="DY18">
        <v>3</v>
      </c>
      <c r="DZ18">
        <v>0</v>
      </c>
      <c r="EA18">
        <v>0</v>
      </c>
      <c r="EB18">
        <v>0</v>
      </c>
      <c r="EC18">
        <v>2</v>
      </c>
      <c r="ED18">
        <v>0</v>
      </c>
      <c r="EE18">
        <v>1</v>
      </c>
      <c r="EF18">
        <v>0</v>
      </c>
      <c r="EG18">
        <v>1</v>
      </c>
      <c r="EH18">
        <v>7</v>
      </c>
      <c r="EI18">
        <v>2</v>
      </c>
      <c r="EJ18">
        <v>0</v>
      </c>
      <c r="EK18">
        <v>1</v>
      </c>
      <c r="EL18">
        <v>0</v>
      </c>
      <c r="EM18">
        <v>0</v>
      </c>
      <c r="EN18">
        <v>0</v>
      </c>
      <c r="EO18">
        <v>0</v>
      </c>
      <c r="EP18">
        <v>1</v>
      </c>
      <c r="EQ18">
        <v>0</v>
      </c>
      <c r="ER18">
        <v>2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3</v>
      </c>
      <c r="FF18">
        <v>1</v>
      </c>
      <c r="FG18">
        <v>0</v>
      </c>
      <c r="FH18">
        <v>0</v>
      </c>
      <c r="FI18">
        <v>1</v>
      </c>
      <c r="FJ18">
        <v>0</v>
      </c>
      <c r="FK18">
        <v>1</v>
      </c>
      <c r="FL18">
        <v>0</v>
      </c>
      <c r="FM18">
        <v>0</v>
      </c>
      <c r="FN18">
        <v>0</v>
      </c>
      <c r="FO18">
        <v>0</v>
      </c>
      <c r="FP18">
        <v>3</v>
      </c>
    </row>
    <row r="19" spans="1:172" ht="14.25">
      <c r="A19">
        <v>14</v>
      </c>
      <c r="B19" t="str">
        <f t="shared" si="0"/>
        <v>100101</v>
      </c>
      <c r="C19" t="str">
        <f t="shared" si="1"/>
        <v>m. Bełchatów</v>
      </c>
      <c r="D19" t="str">
        <f t="shared" si="2"/>
        <v>bełchatowski</v>
      </c>
      <c r="E19" t="str">
        <f t="shared" si="3"/>
        <v>łódzkie</v>
      </c>
      <c r="F19">
        <v>14</v>
      </c>
      <c r="G19" t="str">
        <f>"Zespół Szkolno-Przedszkolny Nr 9, Os. Dolnośląskie 204A, 97-400 Bełchatów"</f>
        <v>Zespół Szkolno-Przedszkolny Nr 9, Os. Dolnośląskie 204A, 97-400 Bełchatów</v>
      </c>
      <c r="H19">
        <v>1973</v>
      </c>
      <c r="I19">
        <v>1973</v>
      </c>
      <c r="J19">
        <v>0</v>
      </c>
      <c r="K19">
        <v>1380</v>
      </c>
      <c r="L19">
        <v>932</v>
      </c>
      <c r="M19">
        <v>448</v>
      </c>
      <c r="N19">
        <v>448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447</v>
      </c>
      <c r="Z19">
        <v>0</v>
      </c>
      <c r="AA19">
        <v>0</v>
      </c>
      <c r="AB19">
        <v>447</v>
      </c>
      <c r="AC19">
        <v>9</v>
      </c>
      <c r="AD19">
        <v>438</v>
      </c>
      <c r="AE19">
        <v>16</v>
      </c>
      <c r="AF19">
        <v>1</v>
      </c>
      <c r="AG19">
        <v>3</v>
      </c>
      <c r="AH19">
        <v>2</v>
      </c>
      <c r="AI19">
        <v>3</v>
      </c>
      <c r="AJ19">
        <v>0</v>
      </c>
      <c r="AK19">
        <v>0</v>
      </c>
      <c r="AL19">
        <v>2</v>
      </c>
      <c r="AM19">
        <v>1</v>
      </c>
      <c r="AN19">
        <v>0</v>
      </c>
      <c r="AO19">
        <v>4</v>
      </c>
      <c r="AP19">
        <v>16</v>
      </c>
      <c r="AQ19">
        <v>20</v>
      </c>
      <c r="AR19">
        <v>12</v>
      </c>
      <c r="AS19">
        <v>4</v>
      </c>
      <c r="AT19">
        <v>1</v>
      </c>
      <c r="AU19">
        <v>0</v>
      </c>
      <c r="AV19">
        <v>2</v>
      </c>
      <c r="AW19">
        <v>0</v>
      </c>
      <c r="AX19">
        <v>0</v>
      </c>
      <c r="AY19">
        <v>1</v>
      </c>
      <c r="AZ19">
        <v>0</v>
      </c>
      <c r="BA19">
        <v>0</v>
      </c>
      <c r="BB19">
        <v>20</v>
      </c>
      <c r="BC19">
        <v>44</v>
      </c>
      <c r="BD19">
        <v>7</v>
      </c>
      <c r="BE19">
        <v>1</v>
      </c>
      <c r="BF19">
        <v>1</v>
      </c>
      <c r="BG19">
        <v>0</v>
      </c>
      <c r="BH19">
        <v>1</v>
      </c>
      <c r="BI19">
        <v>0</v>
      </c>
      <c r="BJ19">
        <v>23</v>
      </c>
      <c r="BK19">
        <v>0</v>
      </c>
      <c r="BL19">
        <v>4</v>
      </c>
      <c r="BM19">
        <v>7</v>
      </c>
      <c r="BN19">
        <v>44</v>
      </c>
      <c r="BO19">
        <v>197</v>
      </c>
      <c r="BP19">
        <v>136</v>
      </c>
      <c r="BQ19">
        <v>20</v>
      </c>
      <c r="BR19">
        <v>8</v>
      </c>
      <c r="BS19">
        <v>11</v>
      </c>
      <c r="BT19">
        <v>0</v>
      </c>
      <c r="BU19">
        <v>7</v>
      </c>
      <c r="BV19">
        <v>1</v>
      </c>
      <c r="BW19">
        <v>9</v>
      </c>
      <c r="BX19">
        <v>0</v>
      </c>
      <c r="BY19">
        <v>5</v>
      </c>
      <c r="BZ19">
        <v>197</v>
      </c>
      <c r="CA19">
        <v>6</v>
      </c>
      <c r="CB19">
        <v>2</v>
      </c>
      <c r="CC19">
        <v>2</v>
      </c>
      <c r="CD19">
        <v>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1</v>
      </c>
      <c r="CK19">
        <v>0</v>
      </c>
      <c r="CL19">
        <v>6</v>
      </c>
      <c r="CM19">
        <v>2</v>
      </c>
      <c r="CN19">
        <v>1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1</v>
      </c>
      <c r="CX19">
        <v>2</v>
      </c>
      <c r="CY19">
        <v>31</v>
      </c>
      <c r="CZ19">
        <v>21</v>
      </c>
      <c r="DA19">
        <v>0</v>
      </c>
      <c r="DB19">
        <v>1</v>
      </c>
      <c r="DC19">
        <v>3</v>
      </c>
      <c r="DD19">
        <v>0</v>
      </c>
      <c r="DE19">
        <v>1</v>
      </c>
      <c r="DF19">
        <v>1</v>
      </c>
      <c r="DG19">
        <v>1</v>
      </c>
      <c r="DH19">
        <v>1</v>
      </c>
      <c r="DI19">
        <v>2</v>
      </c>
      <c r="DJ19">
        <v>31</v>
      </c>
      <c r="DK19">
        <v>99</v>
      </c>
      <c r="DL19">
        <v>63</v>
      </c>
      <c r="DM19">
        <v>4</v>
      </c>
      <c r="DN19">
        <v>0</v>
      </c>
      <c r="DO19">
        <v>1</v>
      </c>
      <c r="DP19">
        <v>3</v>
      </c>
      <c r="DQ19">
        <v>0</v>
      </c>
      <c r="DR19">
        <v>26</v>
      </c>
      <c r="DS19">
        <v>0</v>
      </c>
      <c r="DT19">
        <v>0</v>
      </c>
      <c r="DU19">
        <v>2</v>
      </c>
      <c r="DV19">
        <v>99</v>
      </c>
      <c r="DW19">
        <v>11</v>
      </c>
      <c r="DX19">
        <v>2</v>
      </c>
      <c r="DY19">
        <v>0</v>
      </c>
      <c r="DZ19">
        <v>0</v>
      </c>
      <c r="EA19">
        <v>0</v>
      </c>
      <c r="EB19">
        <v>1</v>
      </c>
      <c r="EC19">
        <v>4</v>
      </c>
      <c r="ED19">
        <v>1</v>
      </c>
      <c r="EE19">
        <v>1</v>
      </c>
      <c r="EF19">
        <v>0</v>
      </c>
      <c r="EG19">
        <v>2</v>
      </c>
      <c r="EH19">
        <v>11</v>
      </c>
      <c r="EI19">
        <v>4</v>
      </c>
      <c r="EJ19">
        <v>0</v>
      </c>
      <c r="EK19">
        <v>3</v>
      </c>
      <c r="EL19">
        <v>0</v>
      </c>
      <c r="EM19">
        <v>1</v>
      </c>
      <c r="EN19">
        <v>0</v>
      </c>
      <c r="EO19">
        <v>0</v>
      </c>
      <c r="EP19">
        <v>0</v>
      </c>
      <c r="EQ19">
        <v>0</v>
      </c>
      <c r="ER19">
        <v>4</v>
      </c>
      <c r="ES19">
        <v>4</v>
      </c>
      <c r="ET19">
        <v>1</v>
      </c>
      <c r="EU19">
        <v>0</v>
      </c>
      <c r="EV19">
        <v>0</v>
      </c>
      <c r="EW19">
        <v>0</v>
      </c>
      <c r="EX19">
        <v>0</v>
      </c>
      <c r="EY19">
        <v>2</v>
      </c>
      <c r="EZ19">
        <v>0</v>
      </c>
      <c r="FA19">
        <v>0</v>
      </c>
      <c r="FB19">
        <v>0</v>
      </c>
      <c r="FC19">
        <v>1</v>
      </c>
      <c r="FD19">
        <v>4</v>
      </c>
      <c r="FE19">
        <v>4</v>
      </c>
      <c r="FF19">
        <v>2</v>
      </c>
      <c r="FG19">
        <v>0</v>
      </c>
      <c r="FH19">
        <v>0</v>
      </c>
      <c r="FI19">
        <v>0</v>
      </c>
      <c r="FJ19">
        <v>0</v>
      </c>
      <c r="FK19">
        <v>1</v>
      </c>
      <c r="FL19">
        <v>0</v>
      </c>
      <c r="FM19">
        <v>0</v>
      </c>
      <c r="FN19">
        <v>0</v>
      </c>
      <c r="FO19">
        <v>1</v>
      </c>
      <c r="FP19">
        <v>4</v>
      </c>
    </row>
    <row r="20" spans="1:172" ht="14.25">
      <c r="A20">
        <v>15</v>
      </c>
      <c r="B20" t="str">
        <f t="shared" si="0"/>
        <v>100101</v>
      </c>
      <c r="C20" t="str">
        <f t="shared" si="1"/>
        <v>m. Bełchatów</v>
      </c>
      <c r="D20" t="str">
        <f t="shared" si="2"/>
        <v>bełchatowski</v>
      </c>
      <c r="E20" t="str">
        <f t="shared" si="3"/>
        <v>łódzkie</v>
      </c>
      <c r="F20">
        <v>15</v>
      </c>
      <c r="G20" t="str">
        <f>"Szkoła Podstawowa Nr 4, ul. Lipowa 11, 97-400 Bełchatów"</f>
        <v>Szkoła Podstawowa Nr 4, ul. Lipowa 11, 97-400 Bełchatów</v>
      </c>
      <c r="H20">
        <v>1986</v>
      </c>
      <c r="I20">
        <v>1986</v>
      </c>
      <c r="J20">
        <v>0</v>
      </c>
      <c r="K20">
        <v>1400</v>
      </c>
      <c r="L20">
        <v>908</v>
      </c>
      <c r="M20">
        <v>492</v>
      </c>
      <c r="N20">
        <v>492</v>
      </c>
      <c r="O20">
        <v>0</v>
      </c>
      <c r="P20">
        <v>1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492</v>
      </c>
      <c r="Z20">
        <v>0</v>
      </c>
      <c r="AA20">
        <v>0</v>
      </c>
      <c r="AB20">
        <v>492</v>
      </c>
      <c r="AC20">
        <v>12</v>
      </c>
      <c r="AD20">
        <v>480</v>
      </c>
      <c r="AE20">
        <v>11</v>
      </c>
      <c r="AF20">
        <v>1</v>
      </c>
      <c r="AG20">
        <v>0</v>
      </c>
      <c r="AH20">
        <v>3</v>
      </c>
      <c r="AI20">
        <v>0</v>
      </c>
      <c r="AJ20">
        <v>0</v>
      </c>
      <c r="AK20">
        <v>0</v>
      </c>
      <c r="AL20">
        <v>2</v>
      </c>
      <c r="AM20">
        <v>0</v>
      </c>
      <c r="AN20">
        <v>2</v>
      </c>
      <c r="AO20">
        <v>3</v>
      </c>
      <c r="AP20">
        <v>11</v>
      </c>
      <c r="AQ20">
        <v>12</v>
      </c>
      <c r="AR20">
        <v>8</v>
      </c>
      <c r="AS20">
        <v>2</v>
      </c>
      <c r="AT20">
        <v>0</v>
      </c>
      <c r="AU20">
        <v>0</v>
      </c>
      <c r="AV20">
        <v>1</v>
      </c>
      <c r="AW20">
        <v>0</v>
      </c>
      <c r="AX20">
        <v>1</v>
      </c>
      <c r="AY20">
        <v>0</v>
      </c>
      <c r="AZ20">
        <v>0</v>
      </c>
      <c r="BA20">
        <v>0</v>
      </c>
      <c r="BB20">
        <v>12</v>
      </c>
      <c r="BC20">
        <v>55</v>
      </c>
      <c r="BD20">
        <v>9</v>
      </c>
      <c r="BE20">
        <v>0</v>
      </c>
      <c r="BF20">
        <v>1</v>
      </c>
      <c r="BG20">
        <v>0</v>
      </c>
      <c r="BH20">
        <v>2</v>
      </c>
      <c r="BI20">
        <v>3</v>
      </c>
      <c r="BJ20">
        <v>29</v>
      </c>
      <c r="BK20">
        <v>2</v>
      </c>
      <c r="BL20">
        <v>1</v>
      </c>
      <c r="BM20">
        <v>8</v>
      </c>
      <c r="BN20">
        <v>55</v>
      </c>
      <c r="BO20">
        <v>201</v>
      </c>
      <c r="BP20">
        <v>129</v>
      </c>
      <c r="BQ20">
        <v>29</v>
      </c>
      <c r="BR20">
        <v>17</v>
      </c>
      <c r="BS20">
        <v>4</v>
      </c>
      <c r="BT20">
        <v>3</v>
      </c>
      <c r="BU20">
        <v>5</v>
      </c>
      <c r="BV20">
        <v>3</v>
      </c>
      <c r="BW20">
        <v>5</v>
      </c>
      <c r="BX20">
        <v>2</v>
      </c>
      <c r="BY20">
        <v>4</v>
      </c>
      <c r="BZ20">
        <v>201</v>
      </c>
      <c r="CA20">
        <v>3</v>
      </c>
      <c r="CB20">
        <v>1</v>
      </c>
      <c r="CC20">
        <v>1</v>
      </c>
      <c r="CD20">
        <v>0</v>
      </c>
      <c r="CE20">
        <v>1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3</v>
      </c>
      <c r="CM20">
        <v>14</v>
      </c>
      <c r="CN20">
        <v>9</v>
      </c>
      <c r="CO20">
        <v>0</v>
      </c>
      <c r="CP20">
        <v>1</v>
      </c>
      <c r="CQ20">
        <v>1</v>
      </c>
      <c r="CR20">
        <v>1</v>
      </c>
      <c r="CS20">
        <v>0</v>
      </c>
      <c r="CT20">
        <v>0</v>
      </c>
      <c r="CU20">
        <v>1</v>
      </c>
      <c r="CV20">
        <v>0</v>
      </c>
      <c r="CW20">
        <v>1</v>
      </c>
      <c r="CX20">
        <v>14</v>
      </c>
      <c r="CY20">
        <v>44</v>
      </c>
      <c r="CZ20">
        <v>32</v>
      </c>
      <c r="DA20">
        <v>3</v>
      </c>
      <c r="DB20">
        <v>3</v>
      </c>
      <c r="DC20">
        <v>0</v>
      </c>
      <c r="DD20">
        <v>1</v>
      </c>
      <c r="DE20">
        <v>0</v>
      </c>
      <c r="DF20">
        <v>2</v>
      </c>
      <c r="DG20">
        <v>2</v>
      </c>
      <c r="DH20">
        <v>0</v>
      </c>
      <c r="DI20">
        <v>1</v>
      </c>
      <c r="DJ20">
        <v>44</v>
      </c>
      <c r="DK20">
        <v>126</v>
      </c>
      <c r="DL20">
        <v>69</v>
      </c>
      <c r="DM20">
        <v>10</v>
      </c>
      <c r="DN20">
        <v>1</v>
      </c>
      <c r="DO20">
        <v>1</v>
      </c>
      <c r="DP20">
        <v>0</v>
      </c>
      <c r="DQ20">
        <v>0</v>
      </c>
      <c r="DR20">
        <v>43</v>
      </c>
      <c r="DS20">
        <v>2</v>
      </c>
      <c r="DT20">
        <v>0</v>
      </c>
      <c r="DU20">
        <v>0</v>
      </c>
      <c r="DV20">
        <v>126</v>
      </c>
      <c r="DW20">
        <v>8</v>
      </c>
      <c r="DX20">
        <v>2</v>
      </c>
      <c r="DY20">
        <v>4</v>
      </c>
      <c r="DZ20">
        <v>0</v>
      </c>
      <c r="EA20">
        <v>0</v>
      </c>
      <c r="EB20">
        <v>0</v>
      </c>
      <c r="EC20">
        <v>1</v>
      </c>
      <c r="ED20">
        <v>0</v>
      </c>
      <c r="EE20">
        <v>0</v>
      </c>
      <c r="EF20">
        <v>1</v>
      </c>
      <c r="EG20">
        <v>0</v>
      </c>
      <c r="EH20">
        <v>8</v>
      </c>
      <c r="EI20">
        <v>2</v>
      </c>
      <c r="EJ20">
        <v>0</v>
      </c>
      <c r="EK20">
        <v>2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2</v>
      </c>
      <c r="ES20">
        <v>1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1</v>
      </c>
      <c r="FD20">
        <v>1</v>
      </c>
      <c r="FE20">
        <v>3</v>
      </c>
      <c r="FF20">
        <v>0</v>
      </c>
      <c r="FG20">
        <v>1</v>
      </c>
      <c r="FH20">
        <v>0</v>
      </c>
      <c r="FI20">
        <v>0</v>
      </c>
      <c r="FJ20">
        <v>0</v>
      </c>
      <c r="FK20">
        <v>2</v>
      </c>
      <c r="FL20">
        <v>0</v>
      </c>
      <c r="FM20">
        <v>0</v>
      </c>
      <c r="FN20">
        <v>0</v>
      </c>
      <c r="FO20">
        <v>0</v>
      </c>
      <c r="FP20">
        <v>3</v>
      </c>
    </row>
    <row r="21" spans="1:172" ht="14.25">
      <c r="A21">
        <v>16</v>
      </c>
      <c r="B21" t="str">
        <f t="shared" si="0"/>
        <v>100101</v>
      </c>
      <c r="C21" t="str">
        <f t="shared" si="1"/>
        <v>m. Bełchatów</v>
      </c>
      <c r="D21" t="str">
        <f t="shared" si="2"/>
        <v>bełchatowski</v>
      </c>
      <c r="E21" t="str">
        <f t="shared" si="3"/>
        <v>łódzkie</v>
      </c>
      <c r="F21">
        <v>16</v>
      </c>
      <c r="G21" t="str">
        <f>"Szkoła Podstawowa Nr 8, Os. Dolnośląskie 112A, 97-400 Bełchatów"</f>
        <v>Szkoła Podstawowa Nr 8, Os. Dolnośląskie 112A, 97-400 Bełchatów</v>
      </c>
      <c r="H21">
        <v>2321</v>
      </c>
      <c r="I21">
        <v>2321</v>
      </c>
      <c r="J21">
        <v>0</v>
      </c>
      <c r="K21">
        <v>1630</v>
      </c>
      <c r="L21">
        <v>1098</v>
      </c>
      <c r="M21">
        <v>532</v>
      </c>
      <c r="N21">
        <v>532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532</v>
      </c>
      <c r="Z21">
        <v>0</v>
      </c>
      <c r="AA21">
        <v>0</v>
      </c>
      <c r="AB21">
        <v>532</v>
      </c>
      <c r="AC21">
        <v>14</v>
      </c>
      <c r="AD21">
        <v>518</v>
      </c>
      <c r="AE21">
        <v>5</v>
      </c>
      <c r="AF21">
        <v>3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5</v>
      </c>
      <c r="AQ21">
        <v>13</v>
      </c>
      <c r="AR21">
        <v>5</v>
      </c>
      <c r="AS21">
        <v>3</v>
      </c>
      <c r="AT21">
        <v>1</v>
      </c>
      <c r="AU21">
        <v>1</v>
      </c>
      <c r="AV21">
        <v>1</v>
      </c>
      <c r="AW21">
        <v>0</v>
      </c>
      <c r="AX21">
        <v>0</v>
      </c>
      <c r="AY21">
        <v>0</v>
      </c>
      <c r="AZ21">
        <v>2</v>
      </c>
      <c r="BA21">
        <v>0</v>
      </c>
      <c r="BB21">
        <v>13</v>
      </c>
      <c r="BC21">
        <v>58</v>
      </c>
      <c r="BD21">
        <v>8</v>
      </c>
      <c r="BE21">
        <v>5</v>
      </c>
      <c r="BF21">
        <v>0</v>
      </c>
      <c r="BG21">
        <v>1</v>
      </c>
      <c r="BH21">
        <v>0</v>
      </c>
      <c r="BI21">
        <v>1</v>
      </c>
      <c r="BJ21">
        <v>27</v>
      </c>
      <c r="BK21">
        <v>1</v>
      </c>
      <c r="BL21">
        <v>1</v>
      </c>
      <c r="BM21">
        <v>14</v>
      </c>
      <c r="BN21">
        <v>58</v>
      </c>
      <c r="BO21">
        <v>246</v>
      </c>
      <c r="BP21">
        <v>186</v>
      </c>
      <c r="BQ21">
        <v>18</v>
      </c>
      <c r="BR21">
        <v>11</v>
      </c>
      <c r="BS21">
        <v>0</v>
      </c>
      <c r="BT21">
        <v>4</v>
      </c>
      <c r="BU21">
        <v>7</v>
      </c>
      <c r="BV21">
        <v>5</v>
      </c>
      <c r="BW21">
        <v>4</v>
      </c>
      <c r="BX21">
        <v>1</v>
      </c>
      <c r="BY21">
        <v>10</v>
      </c>
      <c r="BZ21">
        <v>246</v>
      </c>
      <c r="CA21">
        <v>8</v>
      </c>
      <c r="CB21">
        <v>6</v>
      </c>
      <c r="CC21">
        <v>0</v>
      </c>
      <c r="CD21">
        <v>1</v>
      </c>
      <c r="CE21">
        <v>0</v>
      </c>
      <c r="CF21">
        <v>1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8</v>
      </c>
      <c r="CM21">
        <v>8</v>
      </c>
      <c r="CN21">
        <v>3</v>
      </c>
      <c r="CO21">
        <v>0</v>
      </c>
      <c r="CP21">
        <v>0</v>
      </c>
      <c r="CQ21">
        <v>0</v>
      </c>
      <c r="CR21">
        <v>0</v>
      </c>
      <c r="CS21">
        <v>2</v>
      </c>
      <c r="CT21">
        <v>0</v>
      </c>
      <c r="CU21">
        <v>2</v>
      </c>
      <c r="CV21">
        <v>0</v>
      </c>
      <c r="CW21">
        <v>1</v>
      </c>
      <c r="CX21">
        <v>8</v>
      </c>
      <c r="CY21">
        <v>39</v>
      </c>
      <c r="CZ21">
        <v>25</v>
      </c>
      <c r="DA21">
        <v>2</v>
      </c>
      <c r="DB21">
        <v>2</v>
      </c>
      <c r="DC21">
        <v>1</v>
      </c>
      <c r="DD21">
        <v>0</v>
      </c>
      <c r="DE21">
        <v>0</v>
      </c>
      <c r="DF21">
        <v>3</v>
      </c>
      <c r="DG21">
        <v>1</v>
      </c>
      <c r="DH21">
        <v>3</v>
      </c>
      <c r="DI21">
        <v>2</v>
      </c>
      <c r="DJ21">
        <v>39</v>
      </c>
      <c r="DK21">
        <v>128</v>
      </c>
      <c r="DL21">
        <v>64</v>
      </c>
      <c r="DM21">
        <v>6</v>
      </c>
      <c r="DN21">
        <v>0</v>
      </c>
      <c r="DO21">
        <v>0</v>
      </c>
      <c r="DP21">
        <v>2</v>
      </c>
      <c r="DQ21">
        <v>0</v>
      </c>
      <c r="DR21">
        <v>51</v>
      </c>
      <c r="DS21">
        <v>1</v>
      </c>
      <c r="DT21">
        <v>2</v>
      </c>
      <c r="DU21">
        <v>2</v>
      </c>
      <c r="DV21">
        <v>128</v>
      </c>
      <c r="DW21">
        <v>3</v>
      </c>
      <c r="DX21">
        <v>1</v>
      </c>
      <c r="DY21">
        <v>1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1</v>
      </c>
      <c r="EG21">
        <v>0</v>
      </c>
      <c r="EH21">
        <v>3</v>
      </c>
      <c r="EI21">
        <v>3</v>
      </c>
      <c r="EJ21">
        <v>2</v>
      </c>
      <c r="EK21">
        <v>1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3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7</v>
      </c>
      <c r="FF21">
        <v>2</v>
      </c>
      <c r="FG21">
        <v>1</v>
      </c>
      <c r="FH21">
        <v>0</v>
      </c>
      <c r="FI21">
        <v>0</v>
      </c>
      <c r="FJ21">
        <v>0</v>
      </c>
      <c r="FK21">
        <v>0</v>
      </c>
      <c r="FL21">
        <v>1</v>
      </c>
      <c r="FM21">
        <v>2</v>
      </c>
      <c r="FN21">
        <v>0</v>
      </c>
      <c r="FO21">
        <v>1</v>
      </c>
      <c r="FP21">
        <v>7</v>
      </c>
    </row>
    <row r="22" spans="1:172" ht="14.25">
      <c r="A22">
        <v>17</v>
      </c>
      <c r="B22" t="str">
        <f t="shared" si="0"/>
        <v>100101</v>
      </c>
      <c r="C22" t="str">
        <f t="shared" si="1"/>
        <v>m. Bełchatów</v>
      </c>
      <c r="D22" t="str">
        <f t="shared" si="2"/>
        <v>bełchatowski</v>
      </c>
      <c r="E22" t="str">
        <f t="shared" si="3"/>
        <v>łódzkie</v>
      </c>
      <c r="F22">
        <v>17</v>
      </c>
      <c r="G22" t="str">
        <f>"Przedszkole Samorządowe Nr 5, Os. Dolnośląskie 222a, 97-400 Bełchatów"</f>
        <v>Przedszkole Samorządowe Nr 5, Os. Dolnośląskie 222a, 97-400 Bełchatów</v>
      </c>
      <c r="H22">
        <v>1927</v>
      </c>
      <c r="I22">
        <v>1927</v>
      </c>
      <c r="J22">
        <v>0</v>
      </c>
      <c r="K22">
        <v>1349</v>
      </c>
      <c r="L22">
        <v>932</v>
      </c>
      <c r="M22">
        <v>417</v>
      </c>
      <c r="N22">
        <v>417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417</v>
      </c>
      <c r="Z22">
        <v>0</v>
      </c>
      <c r="AA22">
        <v>0</v>
      </c>
      <c r="AB22">
        <v>417</v>
      </c>
      <c r="AC22">
        <v>11</v>
      </c>
      <c r="AD22">
        <v>406</v>
      </c>
      <c r="AE22">
        <v>12</v>
      </c>
      <c r="AF22">
        <v>4</v>
      </c>
      <c r="AG22">
        <v>0</v>
      </c>
      <c r="AH22">
        <v>5</v>
      </c>
      <c r="AI22">
        <v>2</v>
      </c>
      <c r="AJ22">
        <v>0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12</v>
      </c>
      <c r="AQ22">
        <v>11</v>
      </c>
      <c r="AR22">
        <v>3</v>
      </c>
      <c r="AS22">
        <v>5</v>
      </c>
      <c r="AT22">
        <v>0</v>
      </c>
      <c r="AU22">
        <v>2</v>
      </c>
      <c r="AV22">
        <v>0</v>
      </c>
      <c r="AW22">
        <v>0</v>
      </c>
      <c r="AX22">
        <v>0</v>
      </c>
      <c r="AY22">
        <v>0</v>
      </c>
      <c r="AZ22">
        <v>1</v>
      </c>
      <c r="BA22">
        <v>0</v>
      </c>
      <c r="BB22">
        <v>11</v>
      </c>
      <c r="BC22">
        <v>45</v>
      </c>
      <c r="BD22">
        <v>5</v>
      </c>
      <c r="BE22">
        <v>3</v>
      </c>
      <c r="BF22">
        <v>0</v>
      </c>
      <c r="BG22">
        <v>4</v>
      </c>
      <c r="BH22">
        <v>0</v>
      </c>
      <c r="BI22">
        <v>1</v>
      </c>
      <c r="BJ22">
        <v>27</v>
      </c>
      <c r="BK22">
        <v>0</v>
      </c>
      <c r="BL22">
        <v>0</v>
      </c>
      <c r="BM22">
        <v>5</v>
      </c>
      <c r="BN22">
        <v>45</v>
      </c>
      <c r="BO22">
        <v>188</v>
      </c>
      <c r="BP22">
        <v>144</v>
      </c>
      <c r="BQ22">
        <v>9</v>
      </c>
      <c r="BR22">
        <v>8</v>
      </c>
      <c r="BS22">
        <v>8</v>
      </c>
      <c r="BT22">
        <v>1</v>
      </c>
      <c r="BU22">
        <v>3</v>
      </c>
      <c r="BV22">
        <v>2</v>
      </c>
      <c r="BW22">
        <v>4</v>
      </c>
      <c r="BX22">
        <v>3</v>
      </c>
      <c r="BY22">
        <v>6</v>
      </c>
      <c r="BZ22">
        <v>188</v>
      </c>
      <c r="CA22">
        <v>6</v>
      </c>
      <c r="CB22">
        <v>3</v>
      </c>
      <c r="CC22">
        <v>0</v>
      </c>
      <c r="CD22">
        <v>1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2</v>
      </c>
      <c r="CK22">
        <v>0</v>
      </c>
      <c r="CL22">
        <v>6</v>
      </c>
      <c r="CM22">
        <v>8</v>
      </c>
      <c r="CN22">
        <v>3</v>
      </c>
      <c r="CO22">
        <v>2</v>
      </c>
      <c r="CP22">
        <v>1</v>
      </c>
      <c r="CQ22">
        <v>0</v>
      </c>
      <c r="CR22">
        <v>0</v>
      </c>
      <c r="CS22">
        <v>0</v>
      </c>
      <c r="CT22">
        <v>0</v>
      </c>
      <c r="CU22">
        <v>2</v>
      </c>
      <c r="CV22">
        <v>0</v>
      </c>
      <c r="CW22">
        <v>0</v>
      </c>
      <c r="CX22">
        <v>8</v>
      </c>
      <c r="CY22">
        <v>35</v>
      </c>
      <c r="CZ22">
        <v>20</v>
      </c>
      <c r="DA22">
        <v>4</v>
      </c>
      <c r="DB22">
        <v>1</v>
      </c>
      <c r="DC22">
        <v>3</v>
      </c>
      <c r="DD22">
        <v>2</v>
      </c>
      <c r="DE22">
        <v>3</v>
      </c>
      <c r="DF22">
        <v>0</v>
      </c>
      <c r="DG22">
        <v>1</v>
      </c>
      <c r="DH22">
        <v>1</v>
      </c>
      <c r="DI22">
        <v>0</v>
      </c>
      <c r="DJ22">
        <v>35</v>
      </c>
      <c r="DK22">
        <v>90</v>
      </c>
      <c r="DL22">
        <v>51</v>
      </c>
      <c r="DM22">
        <v>10</v>
      </c>
      <c r="DN22">
        <v>1</v>
      </c>
      <c r="DO22">
        <v>0</v>
      </c>
      <c r="DP22">
        <v>1</v>
      </c>
      <c r="DQ22">
        <v>2</v>
      </c>
      <c r="DR22">
        <v>24</v>
      </c>
      <c r="DS22">
        <v>1</v>
      </c>
      <c r="DT22">
        <v>0</v>
      </c>
      <c r="DU22">
        <v>0</v>
      </c>
      <c r="DV22">
        <v>90</v>
      </c>
      <c r="DW22">
        <v>4</v>
      </c>
      <c r="DX22">
        <v>0</v>
      </c>
      <c r="DY22">
        <v>2</v>
      </c>
      <c r="DZ22">
        <v>0</v>
      </c>
      <c r="EA22">
        <v>0</v>
      </c>
      <c r="EB22">
        <v>0</v>
      </c>
      <c r="EC22">
        <v>2</v>
      </c>
      <c r="ED22">
        <v>0</v>
      </c>
      <c r="EE22">
        <v>0</v>
      </c>
      <c r="EF22">
        <v>0</v>
      </c>
      <c r="EG22">
        <v>0</v>
      </c>
      <c r="EH22">
        <v>4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7</v>
      </c>
      <c r="FF22">
        <v>0</v>
      </c>
      <c r="FG22">
        <v>3</v>
      </c>
      <c r="FH22">
        <v>2</v>
      </c>
      <c r="FI22">
        <v>0</v>
      </c>
      <c r="FJ22">
        <v>0</v>
      </c>
      <c r="FK22">
        <v>0</v>
      </c>
      <c r="FL22">
        <v>1</v>
      </c>
      <c r="FM22">
        <v>0</v>
      </c>
      <c r="FN22">
        <v>0</v>
      </c>
      <c r="FO22">
        <v>1</v>
      </c>
      <c r="FP22">
        <v>7</v>
      </c>
    </row>
    <row r="23" spans="1:172" ht="14.25">
      <c r="A23">
        <v>18</v>
      </c>
      <c r="B23" t="str">
        <f t="shared" si="0"/>
        <v>100101</v>
      </c>
      <c r="C23" t="str">
        <f t="shared" si="1"/>
        <v>m. Bełchatów</v>
      </c>
      <c r="D23" t="str">
        <f t="shared" si="2"/>
        <v>bełchatowski</v>
      </c>
      <c r="E23" t="str">
        <f t="shared" si="3"/>
        <v>łódzkie</v>
      </c>
      <c r="F23">
        <v>18</v>
      </c>
      <c r="G23" t="str">
        <f>"Zespół Szkolno-Przedszkolny Nr 9, Os. Dolnośląskie 204A, 97-400 Bełchatów"</f>
        <v>Zespół Szkolno-Przedszkolny Nr 9, Os. Dolnośląskie 204A, 97-400 Bełchatów</v>
      </c>
      <c r="H23">
        <v>1801</v>
      </c>
      <c r="I23">
        <v>1801</v>
      </c>
      <c r="J23">
        <v>0</v>
      </c>
      <c r="K23">
        <v>1255</v>
      </c>
      <c r="L23">
        <v>897</v>
      </c>
      <c r="M23">
        <v>358</v>
      </c>
      <c r="N23">
        <v>358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358</v>
      </c>
      <c r="Z23">
        <v>0</v>
      </c>
      <c r="AA23">
        <v>0</v>
      </c>
      <c r="AB23">
        <v>358</v>
      </c>
      <c r="AC23">
        <v>13</v>
      </c>
      <c r="AD23">
        <v>345</v>
      </c>
      <c r="AE23">
        <v>12</v>
      </c>
      <c r="AF23">
        <v>5</v>
      </c>
      <c r="AG23">
        <v>3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3</v>
      </c>
      <c r="AN23">
        <v>0</v>
      </c>
      <c r="AO23">
        <v>0</v>
      </c>
      <c r="AP23">
        <v>12</v>
      </c>
      <c r="AQ23">
        <v>3</v>
      </c>
      <c r="AR23">
        <v>1</v>
      </c>
      <c r="AS23">
        <v>1</v>
      </c>
      <c r="AT23">
        <v>0</v>
      </c>
      <c r="AU23">
        <v>0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3</v>
      </c>
      <c r="BC23">
        <v>40</v>
      </c>
      <c r="BD23">
        <v>9</v>
      </c>
      <c r="BE23">
        <v>3</v>
      </c>
      <c r="BF23">
        <v>0</v>
      </c>
      <c r="BG23">
        <v>0</v>
      </c>
      <c r="BH23">
        <v>0</v>
      </c>
      <c r="BI23">
        <v>0</v>
      </c>
      <c r="BJ23">
        <v>21</v>
      </c>
      <c r="BK23">
        <v>0</v>
      </c>
      <c r="BL23">
        <v>0</v>
      </c>
      <c r="BM23">
        <v>7</v>
      </c>
      <c r="BN23">
        <v>40</v>
      </c>
      <c r="BO23">
        <v>158</v>
      </c>
      <c r="BP23">
        <v>122</v>
      </c>
      <c r="BQ23">
        <v>9</v>
      </c>
      <c r="BR23">
        <v>8</v>
      </c>
      <c r="BS23">
        <v>5</v>
      </c>
      <c r="BT23">
        <v>1</v>
      </c>
      <c r="BU23">
        <v>4</v>
      </c>
      <c r="BV23">
        <v>1</v>
      </c>
      <c r="BW23">
        <v>2</v>
      </c>
      <c r="BX23">
        <v>1</v>
      </c>
      <c r="BY23">
        <v>5</v>
      </c>
      <c r="BZ23">
        <v>158</v>
      </c>
      <c r="CA23">
        <v>5</v>
      </c>
      <c r="CB23">
        <v>3</v>
      </c>
      <c r="CC23">
        <v>0</v>
      </c>
      <c r="CD23">
        <v>0</v>
      </c>
      <c r="CE23">
        <v>0</v>
      </c>
      <c r="CF23">
        <v>2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5</v>
      </c>
      <c r="CM23">
        <v>10</v>
      </c>
      <c r="CN23">
        <v>7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1</v>
      </c>
      <c r="CU23">
        <v>0</v>
      </c>
      <c r="CV23">
        <v>1</v>
      </c>
      <c r="CW23">
        <v>0</v>
      </c>
      <c r="CX23">
        <v>10</v>
      </c>
      <c r="CY23">
        <v>32</v>
      </c>
      <c r="CZ23">
        <v>18</v>
      </c>
      <c r="DA23">
        <v>6</v>
      </c>
      <c r="DB23">
        <v>0</v>
      </c>
      <c r="DC23">
        <v>0</v>
      </c>
      <c r="DD23">
        <v>0</v>
      </c>
      <c r="DE23">
        <v>1</v>
      </c>
      <c r="DF23">
        <v>3</v>
      </c>
      <c r="DG23">
        <v>1</v>
      </c>
      <c r="DH23">
        <v>1</v>
      </c>
      <c r="DI23">
        <v>2</v>
      </c>
      <c r="DJ23">
        <v>32</v>
      </c>
      <c r="DK23">
        <v>75</v>
      </c>
      <c r="DL23">
        <v>46</v>
      </c>
      <c r="DM23">
        <v>3</v>
      </c>
      <c r="DN23">
        <v>0</v>
      </c>
      <c r="DO23">
        <v>0</v>
      </c>
      <c r="DP23">
        <v>0</v>
      </c>
      <c r="DQ23">
        <v>0</v>
      </c>
      <c r="DR23">
        <v>23</v>
      </c>
      <c r="DS23">
        <v>1</v>
      </c>
      <c r="DT23">
        <v>1</v>
      </c>
      <c r="DU23">
        <v>1</v>
      </c>
      <c r="DV23">
        <v>75</v>
      </c>
      <c r="DW23">
        <v>4</v>
      </c>
      <c r="DX23">
        <v>1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1</v>
      </c>
      <c r="EF23">
        <v>0</v>
      </c>
      <c r="EG23">
        <v>2</v>
      </c>
      <c r="EH23">
        <v>4</v>
      </c>
      <c r="EI23">
        <v>3</v>
      </c>
      <c r="EJ23">
        <v>0</v>
      </c>
      <c r="EK23">
        <v>3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3</v>
      </c>
      <c r="ES23">
        <v>1</v>
      </c>
      <c r="ET23">
        <v>1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1</v>
      </c>
      <c r="FE23">
        <v>2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2</v>
      </c>
      <c r="FP23">
        <v>2</v>
      </c>
    </row>
    <row r="24" spans="1:172" ht="14.25">
      <c r="A24">
        <v>19</v>
      </c>
      <c r="B24" t="str">
        <f t="shared" si="0"/>
        <v>100101</v>
      </c>
      <c r="C24" t="str">
        <f t="shared" si="1"/>
        <v>m. Bełchatów</v>
      </c>
      <c r="D24" t="str">
        <f t="shared" si="2"/>
        <v>bełchatowski</v>
      </c>
      <c r="E24" t="str">
        <f t="shared" si="3"/>
        <v>łódzkie</v>
      </c>
      <c r="F24">
        <v>19</v>
      </c>
      <c r="G24" t="str">
        <f>"Publiczne Gimnazjum Nr 3, ul. Edwardów 5, 97-400 Bełchatów"</f>
        <v>Publiczne Gimnazjum Nr 3, ul. Edwardów 5, 97-400 Bełchatów</v>
      </c>
      <c r="H24">
        <v>2128</v>
      </c>
      <c r="I24">
        <v>2128</v>
      </c>
      <c r="J24">
        <v>0</v>
      </c>
      <c r="K24">
        <v>1491</v>
      </c>
      <c r="L24">
        <v>1004</v>
      </c>
      <c r="M24">
        <v>487</v>
      </c>
      <c r="N24">
        <v>487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487</v>
      </c>
      <c r="Z24">
        <v>0</v>
      </c>
      <c r="AA24">
        <v>0</v>
      </c>
      <c r="AB24">
        <v>487</v>
      </c>
      <c r="AC24">
        <v>24</v>
      </c>
      <c r="AD24">
        <v>463</v>
      </c>
      <c r="AE24">
        <v>10</v>
      </c>
      <c r="AF24">
        <v>5</v>
      </c>
      <c r="AG24">
        <v>2</v>
      </c>
      <c r="AH24">
        <v>1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1</v>
      </c>
      <c r="AP24">
        <v>10</v>
      </c>
      <c r="AQ24">
        <v>20</v>
      </c>
      <c r="AR24">
        <v>13</v>
      </c>
      <c r="AS24">
        <v>3</v>
      </c>
      <c r="AT24">
        <v>0</v>
      </c>
      <c r="AU24">
        <v>0</v>
      </c>
      <c r="AV24">
        <v>3</v>
      </c>
      <c r="AW24">
        <v>0</v>
      </c>
      <c r="AX24">
        <v>0</v>
      </c>
      <c r="AY24">
        <v>0</v>
      </c>
      <c r="AZ24">
        <v>0</v>
      </c>
      <c r="BA24">
        <v>1</v>
      </c>
      <c r="BB24">
        <v>20</v>
      </c>
      <c r="BC24">
        <v>57</v>
      </c>
      <c r="BD24">
        <v>8</v>
      </c>
      <c r="BE24">
        <v>2</v>
      </c>
      <c r="BF24">
        <v>2</v>
      </c>
      <c r="BG24">
        <v>0</v>
      </c>
      <c r="BH24">
        <v>1</v>
      </c>
      <c r="BI24">
        <v>1</v>
      </c>
      <c r="BJ24">
        <v>39</v>
      </c>
      <c r="BK24">
        <v>0</v>
      </c>
      <c r="BL24">
        <v>0</v>
      </c>
      <c r="BM24">
        <v>4</v>
      </c>
      <c r="BN24">
        <v>57</v>
      </c>
      <c r="BO24">
        <v>186</v>
      </c>
      <c r="BP24">
        <v>139</v>
      </c>
      <c r="BQ24">
        <v>18</v>
      </c>
      <c r="BR24">
        <v>7</v>
      </c>
      <c r="BS24">
        <v>0</v>
      </c>
      <c r="BT24">
        <v>1</v>
      </c>
      <c r="BU24">
        <v>8</v>
      </c>
      <c r="BV24">
        <v>1</v>
      </c>
      <c r="BW24">
        <v>6</v>
      </c>
      <c r="BX24">
        <v>3</v>
      </c>
      <c r="BY24">
        <v>3</v>
      </c>
      <c r="BZ24">
        <v>186</v>
      </c>
      <c r="CA24">
        <v>11</v>
      </c>
      <c r="CB24">
        <v>6</v>
      </c>
      <c r="CC24">
        <v>2</v>
      </c>
      <c r="CD24">
        <v>0</v>
      </c>
      <c r="CE24">
        <v>1</v>
      </c>
      <c r="CF24">
        <v>0</v>
      </c>
      <c r="CG24">
        <v>1</v>
      </c>
      <c r="CH24">
        <v>0</v>
      </c>
      <c r="CI24">
        <v>0</v>
      </c>
      <c r="CJ24">
        <v>1</v>
      </c>
      <c r="CK24">
        <v>0</v>
      </c>
      <c r="CL24">
        <v>11</v>
      </c>
      <c r="CM24">
        <v>12</v>
      </c>
      <c r="CN24">
        <v>10</v>
      </c>
      <c r="CO24">
        <v>1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12</v>
      </c>
      <c r="CY24">
        <v>31</v>
      </c>
      <c r="CZ24">
        <v>18</v>
      </c>
      <c r="DA24">
        <v>1</v>
      </c>
      <c r="DB24">
        <v>2</v>
      </c>
      <c r="DC24">
        <v>0</v>
      </c>
      <c r="DD24">
        <v>1</v>
      </c>
      <c r="DE24">
        <v>0</v>
      </c>
      <c r="DF24">
        <v>1</v>
      </c>
      <c r="DG24">
        <v>5</v>
      </c>
      <c r="DH24">
        <v>1</v>
      </c>
      <c r="DI24">
        <v>2</v>
      </c>
      <c r="DJ24">
        <v>31</v>
      </c>
      <c r="DK24">
        <v>120</v>
      </c>
      <c r="DL24">
        <v>62</v>
      </c>
      <c r="DM24">
        <v>5</v>
      </c>
      <c r="DN24">
        <v>0</v>
      </c>
      <c r="DO24">
        <v>0</v>
      </c>
      <c r="DP24">
        <v>1</v>
      </c>
      <c r="DQ24">
        <v>1</v>
      </c>
      <c r="DR24">
        <v>43</v>
      </c>
      <c r="DS24">
        <v>3</v>
      </c>
      <c r="DT24">
        <v>1</v>
      </c>
      <c r="DU24">
        <v>4</v>
      </c>
      <c r="DV24">
        <v>120</v>
      </c>
      <c r="DW24">
        <v>14</v>
      </c>
      <c r="DX24">
        <v>10</v>
      </c>
      <c r="DY24">
        <v>3</v>
      </c>
      <c r="DZ24">
        <v>0</v>
      </c>
      <c r="EA24">
        <v>0</v>
      </c>
      <c r="EB24">
        <v>1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14</v>
      </c>
      <c r="EI24">
        <v>2</v>
      </c>
      <c r="EJ24">
        <v>0</v>
      </c>
      <c r="EK24">
        <v>1</v>
      </c>
      <c r="EL24">
        <v>0</v>
      </c>
      <c r="EM24">
        <v>0</v>
      </c>
      <c r="EN24">
        <v>0</v>
      </c>
      <c r="EO24">
        <v>0</v>
      </c>
      <c r="EP24">
        <v>1</v>
      </c>
      <c r="EQ24">
        <v>0</v>
      </c>
      <c r="ER24">
        <v>2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</row>
    <row r="25" spans="1:172" ht="14.25">
      <c r="A25">
        <v>20</v>
      </c>
      <c r="B25" t="str">
        <f t="shared" si="0"/>
        <v>100101</v>
      </c>
      <c r="C25" t="str">
        <f t="shared" si="1"/>
        <v>m. Bełchatów</v>
      </c>
      <c r="D25" t="str">
        <f t="shared" si="2"/>
        <v>bełchatowski</v>
      </c>
      <c r="E25" t="str">
        <f t="shared" si="3"/>
        <v>łódzkie</v>
      </c>
      <c r="F25">
        <v>20</v>
      </c>
      <c r="G25" t="str">
        <f>"II Liceum Ogólnokształcące, ul. Czapliniecka 72, 97-400 Bełchatów"</f>
        <v>II Liceum Ogólnokształcące, ul. Czapliniecka 72, 97-400 Bełchatów</v>
      </c>
      <c r="H25">
        <v>1978</v>
      </c>
      <c r="I25">
        <v>1978</v>
      </c>
      <c r="J25">
        <v>0</v>
      </c>
      <c r="K25">
        <v>1390</v>
      </c>
      <c r="L25">
        <v>1050</v>
      </c>
      <c r="M25">
        <v>340</v>
      </c>
      <c r="N25">
        <v>340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340</v>
      </c>
      <c r="Z25">
        <v>0</v>
      </c>
      <c r="AA25">
        <v>0</v>
      </c>
      <c r="AB25">
        <v>340</v>
      </c>
      <c r="AC25">
        <v>16</v>
      </c>
      <c r="AD25">
        <v>324</v>
      </c>
      <c r="AE25">
        <v>5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3</v>
      </c>
      <c r="AP25">
        <v>5</v>
      </c>
      <c r="AQ25">
        <v>4</v>
      </c>
      <c r="AR25">
        <v>3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4</v>
      </c>
      <c r="BC25">
        <v>38</v>
      </c>
      <c r="BD25">
        <v>4</v>
      </c>
      <c r="BE25">
        <v>0</v>
      </c>
      <c r="BF25">
        <v>0</v>
      </c>
      <c r="BG25">
        <v>0</v>
      </c>
      <c r="BH25">
        <v>3</v>
      </c>
      <c r="BI25">
        <v>1</v>
      </c>
      <c r="BJ25">
        <v>28</v>
      </c>
      <c r="BK25">
        <v>0</v>
      </c>
      <c r="BL25">
        <v>0</v>
      </c>
      <c r="BM25">
        <v>2</v>
      </c>
      <c r="BN25">
        <v>38</v>
      </c>
      <c r="BO25">
        <v>147</v>
      </c>
      <c r="BP25">
        <v>116</v>
      </c>
      <c r="BQ25">
        <v>9</v>
      </c>
      <c r="BR25">
        <v>8</v>
      </c>
      <c r="BS25">
        <v>5</v>
      </c>
      <c r="BT25">
        <v>2</v>
      </c>
      <c r="BU25">
        <v>0</v>
      </c>
      <c r="BV25">
        <v>0</v>
      </c>
      <c r="BW25">
        <v>3</v>
      </c>
      <c r="BX25">
        <v>2</v>
      </c>
      <c r="BY25">
        <v>2</v>
      </c>
      <c r="BZ25">
        <v>147</v>
      </c>
      <c r="CA25">
        <v>8</v>
      </c>
      <c r="CB25">
        <v>3</v>
      </c>
      <c r="CC25">
        <v>3</v>
      </c>
      <c r="CD25">
        <v>0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0</v>
      </c>
      <c r="CK25">
        <v>1</v>
      </c>
      <c r="CL25">
        <v>8</v>
      </c>
      <c r="CM25">
        <v>6</v>
      </c>
      <c r="CN25">
        <v>1</v>
      </c>
      <c r="CO25">
        <v>1</v>
      </c>
      <c r="CP25">
        <v>0</v>
      </c>
      <c r="CQ25">
        <v>0</v>
      </c>
      <c r="CR25">
        <v>0</v>
      </c>
      <c r="CS25">
        <v>1</v>
      </c>
      <c r="CT25">
        <v>1</v>
      </c>
      <c r="CU25">
        <v>0</v>
      </c>
      <c r="CV25">
        <v>0</v>
      </c>
      <c r="CW25">
        <v>2</v>
      </c>
      <c r="CX25">
        <v>6</v>
      </c>
      <c r="CY25">
        <v>31</v>
      </c>
      <c r="CZ25">
        <v>21</v>
      </c>
      <c r="DA25">
        <v>4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1</v>
      </c>
      <c r="DH25">
        <v>3</v>
      </c>
      <c r="DI25">
        <v>2</v>
      </c>
      <c r="DJ25">
        <v>31</v>
      </c>
      <c r="DK25">
        <v>73</v>
      </c>
      <c r="DL25">
        <v>33</v>
      </c>
      <c r="DM25">
        <v>11</v>
      </c>
      <c r="DN25">
        <v>0</v>
      </c>
      <c r="DO25">
        <v>0</v>
      </c>
      <c r="DP25">
        <v>0</v>
      </c>
      <c r="DQ25">
        <v>0</v>
      </c>
      <c r="DR25">
        <v>25</v>
      </c>
      <c r="DS25">
        <v>3</v>
      </c>
      <c r="DT25">
        <v>0</v>
      </c>
      <c r="DU25">
        <v>1</v>
      </c>
      <c r="DV25">
        <v>73</v>
      </c>
      <c r="DW25">
        <v>8</v>
      </c>
      <c r="DX25">
        <v>5</v>
      </c>
      <c r="DY25">
        <v>2</v>
      </c>
      <c r="DZ25">
        <v>0</v>
      </c>
      <c r="EA25">
        <v>0</v>
      </c>
      <c r="EB25">
        <v>0</v>
      </c>
      <c r="EC25">
        <v>1</v>
      </c>
      <c r="ED25">
        <v>0</v>
      </c>
      <c r="EE25">
        <v>0</v>
      </c>
      <c r="EF25">
        <v>0</v>
      </c>
      <c r="EG25">
        <v>0</v>
      </c>
      <c r="EH25">
        <v>8</v>
      </c>
      <c r="EI25">
        <v>2</v>
      </c>
      <c r="EJ25">
        <v>0</v>
      </c>
      <c r="EK25">
        <v>1</v>
      </c>
      <c r="EL25">
        <v>0</v>
      </c>
      <c r="EM25">
        <v>0</v>
      </c>
      <c r="EN25">
        <v>0</v>
      </c>
      <c r="EO25">
        <v>1</v>
      </c>
      <c r="EP25">
        <v>0</v>
      </c>
      <c r="EQ25">
        <v>0</v>
      </c>
      <c r="ER25">
        <v>2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2</v>
      </c>
      <c r="FF25">
        <v>1</v>
      </c>
      <c r="FG25">
        <v>0</v>
      </c>
      <c r="FH25">
        <v>0</v>
      </c>
      <c r="FI25">
        <v>0</v>
      </c>
      <c r="FJ25">
        <v>0</v>
      </c>
      <c r="FK25">
        <v>1</v>
      </c>
      <c r="FL25">
        <v>0</v>
      </c>
      <c r="FM25">
        <v>0</v>
      </c>
      <c r="FN25">
        <v>0</v>
      </c>
      <c r="FO25">
        <v>0</v>
      </c>
      <c r="FP25">
        <v>2</v>
      </c>
    </row>
    <row r="26" spans="1:172" ht="14.25">
      <c r="A26">
        <v>21</v>
      </c>
      <c r="B26" t="str">
        <f t="shared" si="0"/>
        <v>100101</v>
      </c>
      <c r="C26" t="str">
        <f t="shared" si="1"/>
        <v>m. Bełchatów</v>
      </c>
      <c r="D26" t="str">
        <f t="shared" si="2"/>
        <v>bełchatowski</v>
      </c>
      <c r="E26" t="str">
        <f t="shared" si="3"/>
        <v>łódzkie</v>
      </c>
      <c r="F26">
        <v>21</v>
      </c>
      <c r="G26" t="str">
        <f>"II Liceum Ogólnokształcące, ul. Czapliniecka 72, 97-400 Bełchatów"</f>
        <v>II Liceum Ogólnokształcące, ul. Czapliniecka 72, 97-400 Bełchatów</v>
      </c>
      <c r="H26">
        <v>1292</v>
      </c>
      <c r="I26">
        <v>1292</v>
      </c>
      <c r="J26">
        <v>0</v>
      </c>
      <c r="K26">
        <v>910</v>
      </c>
      <c r="L26">
        <v>436</v>
      </c>
      <c r="M26">
        <v>474</v>
      </c>
      <c r="N26">
        <v>474</v>
      </c>
      <c r="O26">
        <v>0</v>
      </c>
      <c r="P26">
        <v>0</v>
      </c>
      <c r="Q26">
        <v>3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474</v>
      </c>
      <c r="Z26">
        <v>0</v>
      </c>
      <c r="AA26">
        <v>0</v>
      </c>
      <c r="AB26">
        <v>474</v>
      </c>
      <c r="AC26">
        <v>14</v>
      </c>
      <c r="AD26">
        <v>460</v>
      </c>
      <c r="AE26">
        <v>4</v>
      </c>
      <c r="AF26">
        <v>1</v>
      </c>
      <c r="AG26">
        <v>1</v>
      </c>
      <c r="AH26">
        <v>1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>
        <v>0</v>
      </c>
      <c r="AP26">
        <v>4</v>
      </c>
      <c r="AQ26">
        <v>3</v>
      </c>
      <c r="AR26">
        <v>1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0</v>
      </c>
      <c r="AZ26">
        <v>1</v>
      </c>
      <c r="BA26">
        <v>0</v>
      </c>
      <c r="BB26">
        <v>3</v>
      </c>
      <c r="BC26">
        <v>62</v>
      </c>
      <c r="BD26">
        <v>8</v>
      </c>
      <c r="BE26">
        <v>4</v>
      </c>
      <c r="BF26">
        <v>1</v>
      </c>
      <c r="BG26">
        <v>1</v>
      </c>
      <c r="BH26">
        <v>2</v>
      </c>
      <c r="BI26">
        <v>0</v>
      </c>
      <c r="BJ26">
        <v>38</v>
      </c>
      <c r="BK26">
        <v>0</v>
      </c>
      <c r="BL26">
        <v>2</v>
      </c>
      <c r="BM26">
        <v>6</v>
      </c>
      <c r="BN26">
        <v>62</v>
      </c>
      <c r="BO26">
        <v>162</v>
      </c>
      <c r="BP26">
        <v>125</v>
      </c>
      <c r="BQ26">
        <v>5</v>
      </c>
      <c r="BR26">
        <v>14</v>
      </c>
      <c r="BS26">
        <v>10</v>
      </c>
      <c r="BT26">
        <v>0</v>
      </c>
      <c r="BU26">
        <v>3</v>
      </c>
      <c r="BV26">
        <v>1</v>
      </c>
      <c r="BW26">
        <v>2</v>
      </c>
      <c r="BX26">
        <v>1</v>
      </c>
      <c r="BY26">
        <v>1</v>
      </c>
      <c r="BZ26">
        <v>162</v>
      </c>
      <c r="CA26">
        <v>7</v>
      </c>
      <c r="CB26">
        <v>2</v>
      </c>
      <c r="CC26">
        <v>1</v>
      </c>
      <c r="CD26">
        <v>1</v>
      </c>
      <c r="CE26">
        <v>0</v>
      </c>
      <c r="CF26">
        <v>0</v>
      </c>
      <c r="CG26">
        <v>0</v>
      </c>
      <c r="CH26">
        <v>0</v>
      </c>
      <c r="CI26">
        <v>2</v>
      </c>
      <c r="CJ26">
        <v>1</v>
      </c>
      <c r="CK26">
        <v>0</v>
      </c>
      <c r="CL26">
        <v>7</v>
      </c>
      <c r="CM26">
        <v>8</v>
      </c>
      <c r="CN26">
        <v>4</v>
      </c>
      <c r="CO26">
        <v>1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2</v>
      </c>
      <c r="CV26">
        <v>0</v>
      </c>
      <c r="CW26">
        <v>0</v>
      </c>
      <c r="CX26">
        <v>8</v>
      </c>
      <c r="CY26">
        <v>29</v>
      </c>
      <c r="CZ26">
        <v>18</v>
      </c>
      <c r="DA26">
        <v>2</v>
      </c>
      <c r="DB26">
        <v>2</v>
      </c>
      <c r="DC26">
        <v>0</v>
      </c>
      <c r="DD26">
        <v>1</v>
      </c>
      <c r="DE26">
        <v>0</v>
      </c>
      <c r="DF26">
        <v>0</v>
      </c>
      <c r="DG26">
        <v>2</v>
      </c>
      <c r="DH26">
        <v>1</v>
      </c>
      <c r="DI26">
        <v>3</v>
      </c>
      <c r="DJ26">
        <v>29</v>
      </c>
      <c r="DK26">
        <v>169</v>
      </c>
      <c r="DL26">
        <v>106</v>
      </c>
      <c r="DM26">
        <v>6</v>
      </c>
      <c r="DN26">
        <v>1</v>
      </c>
      <c r="DO26">
        <v>1</v>
      </c>
      <c r="DP26">
        <v>2</v>
      </c>
      <c r="DQ26">
        <v>4</v>
      </c>
      <c r="DR26">
        <v>47</v>
      </c>
      <c r="DS26">
        <v>0</v>
      </c>
      <c r="DT26">
        <v>0</v>
      </c>
      <c r="DU26">
        <v>2</v>
      </c>
      <c r="DV26">
        <v>169</v>
      </c>
      <c r="DW26">
        <v>12</v>
      </c>
      <c r="DX26">
        <v>2</v>
      </c>
      <c r="DY26">
        <v>3</v>
      </c>
      <c r="DZ26">
        <v>0</v>
      </c>
      <c r="EA26">
        <v>0</v>
      </c>
      <c r="EB26">
        <v>3</v>
      </c>
      <c r="EC26">
        <v>1</v>
      </c>
      <c r="ED26">
        <v>1</v>
      </c>
      <c r="EE26">
        <v>0</v>
      </c>
      <c r="EF26">
        <v>0</v>
      </c>
      <c r="EG26">
        <v>2</v>
      </c>
      <c r="EH26">
        <v>12</v>
      </c>
      <c r="EI26">
        <v>1</v>
      </c>
      <c r="EJ26">
        <v>0</v>
      </c>
      <c r="EK26">
        <v>0</v>
      </c>
      <c r="EL26">
        <v>0</v>
      </c>
      <c r="EM26">
        <v>0</v>
      </c>
      <c r="EN26">
        <v>1</v>
      </c>
      <c r="EO26">
        <v>0</v>
      </c>
      <c r="EP26">
        <v>0</v>
      </c>
      <c r="EQ26">
        <v>0</v>
      </c>
      <c r="ER26">
        <v>1</v>
      </c>
      <c r="ES26">
        <v>1</v>
      </c>
      <c r="ET26">
        <v>1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1</v>
      </c>
      <c r="FE26">
        <v>2</v>
      </c>
      <c r="FF26">
        <v>1</v>
      </c>
      <c r="FG26">
        <v>1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2</v>
      </c>
    </row>
    <row r="27" spans="1:172" ht="14.25">
      <c r="A27">
        <v>22</v>
      </c>
      <c r="B27" t="str">
        <f t="shared" si="0"/>
        <v>100101</v>
      </c>
      <c r="C27" t="str">
        <f t="shared" si="1"/>
        <v>m. Bełchatów</v>
      </c>
      <c r="D27" t="str">
        <f t="shared" si="2"/>
        <v>bełchatowski</v>
      </c>
      <c r="E27" t="str">
        <f t="shared" si="3"/>
        <v>łódzkie</v>
      </c>
      <c r="F27">
        <v>22</v>
      </c>
      <c r="G27" t="str">
        <f>"Miejska i Powiatowa Biblioteka Publiczna, ul. Kościuszki 9, 97-400 Bełchatów"</f>
        <v>Miejska i Powiatowa Biblioteka Publiczna, ul. Kościuszki 9, 97-400 Bełchatów</v>
      </c>
      <c r="H27">
        <v>784</v>
      </c>
      <c r="I27">
        <v>784</v>
      </c>
      <c r="J27">
        <v>0</v>
      </c>
      <c r="K27">
        <v>550</v>
      </c>
      <c r="L27">
        <v>364</v>
      </c>
      <c r="M27">
        <v>186</v>
      </c>
      <c r="N27">
        <v>186</v>
      </c>
      <c r="O27">
        <v>0</v>
      </c>
      <c r="P27">
        <v>0</v>
      </c>
      <c r="Q27">
        <v>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186</v>
      </c>
      <c r="Z27">
        <v>0</v>
      </c>
      <c r="AA27">
        <v>0</v>
      </c>
      <c r="AB27">
        <v>186</v>
      </c>
      <c r="AC27">
        <v>4</v>
      </c>
      <c r="AD27">
        <v>182</v>
      </c>
      <c r="AE27">
        <v>3</v>
      </c>
      <c r="AF27">
        <v>3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3</v>
      </c>
      <c r="AQ27">
        <v>7</v>
      </c>
      <c r="AR27">
        <v>4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2</v>
      </c>
      <c r="AY27">
        <v>0</v>
      </c>
      <c r="AZ27">
        <v>0</v>
      </c>
      <c r="BA27">
        <v>0</v>
      </c>
      <c r="BB27">
        <v>7</v>
      </c>
      <c r="BC27">
        <v>30</v>
      </c>
      <c r="BD27">
        <v>1</v>
      </c>
      <c r="BE27">
        <v>0</v>
      </c>
      <c r="BF27">
        <v>0</v>
      </c>
      <c r="BG27">
        <v>0</v>
      </c>
      <c r="BH27">
        <v>1</v>
      </c>
      <c r="BI27">
        <v>0</v>
      </c>
      <c r="BJ27">
        <v>25</v>
      </c>
      <c r="BK27">
        <v>0</v>
      </c>
      <c r="BL27">
        <v>1</v>
      </c>
      <c r="BM27">
        <v>2</v>
      </c>
      <c r="BN27">
        <v>30</v>
      </c>
      <c r="BO27">
        <v>70</v>
      </c>
      <c r="BP27">
        <v>53</v>
      </c>
      <c r="BQ27">
        <v>7</v>
      </c>
      <c r="BR27">
        <v>0</v>
      </c>
      <c r="BS27">
        <v>6</v>
      </c>
      <c r="BT27">
        <v>0</v>
      </c>
      <c r="BU27">
        <v>1</v>
      </c>
      <c r="BV27">
        <v>0</v>
      </c>
      <c r="BW27">
        <v>1</v>
      </c>
      <c r="BX27">
        <v>0</v>
      </c>
      <c r="BY27">
        <v>2</v>
      </c>
      <c r="BZ27">
        <v>70</v>
      </c>
      <c r="CA27">
        <v>4</v>
      </c>
      <c r="CB27">
        <v>2</v>
      </c>
      <c r="CC27">
        <v>0</v>
      </c>
      <c r="CD27">
        <v>0</v>
      </c>
      <c r="CE27">
        <v>1</v>
      </c>
      <c r="CF27">
        <v>0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4</v>
      </c>
      <c r="CM27">
        <v>1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1</v>
      </c>
      <c r="CY27">
        <v>16</v>
      </c>
      <c r="CZ27">
        <v>7</v>
      </c>
      <c r="DA27">
        <v>2</v>
      </c>
      <c r="DB27">
        <v>1</v>
      </c>
      <c r="DC27">
        <v>0</v>
      </c>
      <c r="DD27">
        <v>0</v>
      </c>
      <c r="DE27">
        <v>1</v>
      </c>
      <c r="DF27">
        <v>1</v>
      </c>
      <c r="DG27">
        <v>1</v>
      </c>
      <c r="DH27">
        <v>3</v>
      </c>
      <c r="DI27">
        <v>0</v>
      </c>
      <c r="DJ27">
        <v>16</v>
      </c>
      <c r="DK27">
        <v>45</v>
      </c>
      <c r="DL27">
        <v>20</v>
      </c>
      <c r="DM27">
        <v>5</v>
      </c>
      <c r="DN27">
        <v>0</v>
      </c>
      <c r="DO27">
        <v>0</v>
      </c>
      <c r="DP27">
        <v>0</v>
      </c>
      <c r="DQ27">
        <v>0</v>
      </c>
      <c r="DR27">
        <v>16</v>
      </c>
      <c r="DS27">
        <v>1</v>
      </c>
      <c r="DT27">
        <v>0</v>
      </c>
      <c r="DU27">
        <v>3</v>
      </c>
      <c r="DV27">
        <v>45</v>
      </c>
      <c r="DW27">
        <v>4</v>
      </c>
      <c r="DX27">
        <v>0</v>
      </c>
      <c r="DY27">
        <v>1</v>
      </c>
      <c r="DZ27">
        <v>0</v>
      </c>
      <c r="EA27">
        <v>1</v>
      </c>
      <c r="EB27">
        <v>0</v>
      </c>
      <c r="EC27">
        <v>0</v>
      </c>
      <c r="ED27">
        <v>0</v>
      </c>
      <c r="EE27">
        <v>1</v>
      </c>
      <c r="EF27">
        <v>1</v>
      </c>
      <c r="EG27">
        <v>0</v>
      </c>
      <c r="EH27">
        <v>4</v>
      </c>
      <c r="EI27">
        <v>1</v>
      </c>
      <c r="EJ27">
        <v>0</v>
      </c>
      <c r="EK27">
        <v>1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1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1</v>
      </c>
      <c r="FP27">
        <v>1</v>
      </c>
    </row>
    <row r="28" spans="1:172" ht="14.25">
      <c r="A28">
        <v>23</v>
      </c>
      <c r="B28" t="str">
        <f t="shared" si="0"/>
        <v>100101</v>
      </c>
      <c r="C28" t="str">
        <f t="shared" si="1"/>
        <v>m. Bełchatów</v>
      </c>
      <c r="D28" t="str">
        <f t="shared" si="2"/>
        <v>bełchatowski</v>
      </c>
      <c r="E28" t="str">
        <f t="shared" si="3"/>
        <v>łódzkie</v>
      </c>
      <c r="F28">
        <v>23</v>
      </c>
      <c r="G28" t="str">
        <f>"Miejskie Centrum Kultury, Pl. Narutowicza 1a, 97-400 Bełchatów"</f>
        <v>Miejskie Centrum Kultury, Pl. Narutowicza 1a, 97-400 Bełchatów</v>
      </c>
      <c r="H28">
        <v>2089</v>
      </c>
      <c r="I28">
        <v>2089</v>
      </c>
      <c r="J28">
        <v>0</v>
      </c>
      <c r="K28">
        <v>1470</v>
      </c>
      <c r="L28">
        <v>1008</v>
      </c>
      <c r="M28">
        <v>462</v>
      </c>
      <c r="N28">
        <v>462</v>
      </c>
      <c r="O28">
        <v>0</v>
      </c>
      <c r="P28">
        <v>0</v>
      </c>
      <c r="Q28">
        <v>2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462</v>
      </c>
      <c r="Z28">
        <v>0</v>
      </c>
      <c r="AA28">
        <v>0</v>
      </c>
      <c r="AB28">
        <v>462</v>
      </c>
      <c r="AC28">
        <v>11</v>
      </c>
      <c r="AD28">
        <v>451</v>
      </c>
      <c r="AE28">
        <v>15</v>
      </c>
      <c r="AF28">
        <v>5</v>
      </c>
      <c r="AG28">
        <v>1</v>
      </c>
      <c r="AH28">
        <v>2</v>
      </c>
      <c r="AI28">
        <v>0</v>
      </c>
      <c r="AJ28">
        <v>1</v>
      </c>
      <c r="AK28">
        <v>0</v>
      </c>
      <c r="AL28">
        <v>0</v>
      </c>
      <c r="AM28">
        <v>2</v>
      </c>
      <c r="AN28">
        <v>2</v>
      </c>
      <c r="AO28">
        <v>2</v>
      </c>
      <c r="AP28">
        <v>15</v>
      </c>
      <c r="AQ28">
        <v>16</v>
      </c>
      <c r="AR28">
        <v>9</v>
      </c>
      <c r="AS28">
        <v>3</v>
      </c>
      <c r="AT28">
        <v>1</v>
      </c>
      <c r="AU28">
        <v>0</v>
      </c>
      <c r="AV28">
        <v>0</v>
      </c>
      <c r="AW28">
        <v>0</v>
      </c>
      <c r="AX28">
        <v>1</v>
      </c>
      <c r="AY28">
        <v>1</v>
      </c>
      <c r="AZ28">
        <v>0</v>
      </c>
      <c r="BA28">
        <v>1</v>
      </c>
      <c r="BB28">
        <v>16</v>
      </c>
      <c r="BC28">
        <v>52</v>
      </c>
      <c r="BD28">
        <v>9</v>
      </c>
      <c r="BE28">
        <v>1</v>
      </c>
      <c r="BF28">
        <v>0</v>
      </c>
      <c r="BG28">
        <v>0</v>
      </c>
      <c r="BH28">
        <v>0</v>
      </c>
      <c r="BI28">
        <v>1</v>
      </c>
      <c r="BJ28">
        <v>29</v>
      </c>
      <c r="BK28">
        <v>1</v>
      </c>
      <c r="BL28">
        <v>1</v>
      </c>
      <c r="BM28">
        <v>10</v>
      </c>
      <c r="BN28">
        <v>52</v>
      </c>
      <c r="BO28">
        <v>209</v>
      </c>
      <c r="BP28">
        <v>149</v>
      </c>
      <c r="BQ28">
        <v>13</v>
      </c>
      <c r="BR28">
        <v>10</v>
      </c>
      <c r="BS28">
        <v>14</v>
      </c>
      <c r="BT28">
        <v>0</v>
      </c>
      <c r="BU28">
        <v>2</v>
      </c>
      <c r="BV28">
        <v>2</v>
      </c>
      <c r="BW28">
        <v>10</v>
      </c>
      <c r="BX28">
        <v>3</v>
      </c>
      <c r="BY28">
        <v>6</v>
      </c>
      <c r="BZ28">
        <v>209</v>
      </c>
      <c r="CA28">
        <v>11</v>
      </c>
      <c r="CB28">
        <v>7</v>
      </c>
      <c r="CC28">
        <v>1</v>
      </c>
      <c r="CD28">
        <v>0</v>
      </c>
      <c r="CE28">
        <v>1</v>
      </c>
      <c r="CF28">
        <v>0</v>
      </c>
      <c r="CG28">
        <v>1</v>
      </c>
      <c r="CH28">
        <v>0</v>
      </c>
      <c r="CI28">
        <v>0</v>
      </c>
      <c r="CJ28">
        <v>0</v>
      </c>
      <c r="CK28">
        <v>1</v>
      </c>
      <c r="CL28">
        <v>11</v>
      </c>
      <c r="CM28">
        <v>9</v>
      </c>
      <c r="CN28">
        <v>8</v>
      </c>
      <c r="CO28">
        <v>1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9</v>
      </c>
      <c r="CY28">
        <v>34</v>
      </c>
      <c r="CZ28">
        <v>26</v>
      </c>
      <c r="DA28">
        <v>5</v>
      </c>
      <c r="DB28">
        <v>0</v>
      </c>
      <c r="DC28">
        <v>1</v>
      </c>
      <c r="DD28">
        <v>0</v>
      </c>
      <c r="DE28">
        <v>1</v>
      </c>
      <c r="DF28">
        <v>0</v>
      </c>
      <c r="DG28">
        <v>1</v>
      </c>
      <c r="DH28">
        <v>0</v>
      </c>
      <c r="DI28">
        <v>0</v>
      </c>
      <c r="DJ28">
        <v>34</v>
      </c>
      <c r="DK28">
        <v>97</v>
      </c>
      <c r="DL28">
        <v>51</v>
      </c>
      <c r="DM28">
        <v>8</v>
      </c>
      <c r="DN28">
        <v>0</v>
      </c>
      <c r="DO28">
        <v>0</v>
      </c>
      <c r="DP28">
        <v>0</v>
      </c>
      <c r="DQ28">
        <v>1</v>
      </c>
      <c r="DR28">
        <v>37</v>
      </c>
      <c r="DS28">
        <v>0</v>
      </c>
      <c r="DT28">
        <v>0</v>
      </c>
      <c r="DU28">
        <v>0</v>
      </c>
      <c r="DV28">
        <v>97</v>
      </c>
      <c r="DW28">
        <v>4</v>
      </c>
      <c r="DX28">
        <v>2</v>
      </c>
      <c r="DY28">
        <v>1</v>
      </c>
      <c r="DZ28">
        <v>0</v>
      </c>
      <c r="EA28">
        <v>0</v>
      </c>
      <c r="EB28">
        <v>0</v>
      </c>
      <c r="EC28">
        <v>1</v>
      </c>
      <c r="ED28">
        <v>0</v>
      </c>
      <c r="EE28">
        <v>0</v>
      </c>
      <c r="EF28">
        <v>0</v>
      </c>
      <c r="EG28">
        <v>0</v>
      </c>
      <c r="EH28">
        <v>4</v>
      </c>
      <c r="EI28">
        <v>2</v>
      </c>
      <c r="EJ28">
        <v>1</v>
      </c>
      <c r="EK28">
        <v>1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2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2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1</v>
      </c>
      <c r="FL28">
        <v>0</v>
      </c>
      <c r="FM28">
        <v>0</v>
      </c>
      <c r="FN28">
        <v>0</v>
      </c>
      <c r="FO28">
        <v>0</v>
      </c>
      <c r="FP28">
        <v>2</v>
      </c>
    </row>
    <row r="29" spans="1:172" ht="14.25">
      <c r="A29">
        <v>24</v>
      </c>
      <c r="B29" t="str">
        <f t="shared" si="0"/>
        <v>100101</v>
      </c>
      <c r="C29" t="str">
        <f t="shared" si="1"/>
        <v>m. Bełchatów</v>
      </c>
      <c r="D29" t="str">
        <f t="shared" si="2"/>
        <v>bełchatowski</v>
      </c>
      <c r="E29" t="str">
        <f t="shared" si="3"/>
        <v>łódzkie</v>
      </c>
      <c r="F29">
        <v>24</v>
      </c>
      <c r="G29" t="str">
        <f>"Szkoła Podstawowa Nr 1, ul. Dąbrowskiego 11, 97-400 Bełchatów"</f>
        <v>Szkoła Podstawowa Nr 1, ul. Dąbrowskiego 11, 97-400 Bełchatów</v>
      </c>
      <c r="H29">
        <v>2335</v>
      </c>
      <c r="I29">
        <v>2335</v>
      </c>
      <c r="J29">
        <v>0</v>
      </c>
      <c r="K29">
        <v>1630</v>
      </c>
      <c r="L29">
        <v>1092</v>
      </c>
      <c r="M29">
        <v>538</v>
      </c>
      <c r="N29">
        <v>538</v>
      </c>
      <c r="O29">
        <v>0</v>
      </c>
      <c r="P29">
        <v>0</v>
      </c>
      <c r="Q29">
        <v>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538</v>
      </c>
      <c r="Z29">
        <v>0</v>
      </c>
      <c r="AA29">
        <v>0</v>
      </c>
      <c r="AB29">
        <v>538</v>
      </c>
      <c r="AC29">
        <v>20</v>
      </c>
      <c r="AD29">
        <v>518</v>
      </c>
      <c r="AE29">
        <v>14</v>
      </c>
      <c r="AF29">
        <v>3</v>
      </c>
      <c r="AG29">
        <v>5</v>
      </c>
      <c r="AH29">
        <v>0</v>
      </c>
      <c r="AI29">
        <v>1</v>
      </c>
      <c r="AJ29">
        <v>1</v>
      </c>
      <c r="AK29">
        <v>0</v>
      </c>
      <c r="AL29">
        <v>0</v>
      </c>
      <c r="AM29">
        <v>0</v>
      </c>
      <c r="AN29">
        <v>3</v>
      </c>
      <c r="AO29">
        <v>1</v>
      </c>
      <c r="AP29">
        <v>14</v>
      </c>
      <c r="AQ29">
        <v>15</v>
      </c>
      <c r="AR29">
        <v>10</v>
      </c>
      <c r="AS29">
        <v>0</v>
      </c>
      <c r="AT29">
        <v>2</v>
      </c>
      <c r="AU29">
        <v>0</v>
      </c>
      <c r="AV29">
        <v>0</v>
      </c>
      <c r="AW29">
        <v>0</v>
      </c>
      <c r="AX29">
        <v>1</v>
      </c>
      <c r="AY29">
        <v>1</v>
      </c>
      <c r="AZ29">
        <v>0</v>
      </c>
      <c r="BA29">
        <v>1</v>
      </c>
      <c r="BB29">
        <v>15</v>
      </c>
      <c r="BC29">
        <v>91</v>
      </c>
      <c r="BD29">
        <v>10</v>
      </c>
      <c r="BE29">
        <v>0</v>
      </c>
      <c r="BF29">
        <v>0</v>
      </c>
      <c r="BG29">
        <v>0</v>
      </c>
      <c r="BH29">
        <v>1</v>
      </c>
      <c r="BI29">
        <v>0</v>
      </c>
      <c r="BJ29">
        <v>49</v>
      </c>
      <c r="BK29">
        <v>0</v>
      </c>
      <c r="BL29">
        <v>1</v>
      </c>
      <c r="BM29">
        <v>30</v>
      </c>
      <c r="BN29">
        <v>91</v>
      </c>
      <c r="BO29">
        <v>208</v>
      </c>
      <c r="BP29">
        <v>130</v>
      </c>
      <c r="BQ29">
        <v>21</v>
      </c>
      <c r="BR29">
        <v>9</v>
      </c>
      <c r="BS29">
        <v>5</v>
      </c>
      <c r="BT29">
        <v>2</v>
      </c>
      <c r="BU29">
        <v>16</v>
      </c>
      <c r="BV29">
        <v>2</v>
      </c>
      <c r="BW29">
        <v>11</v>
      </c>
      <c r="BX29">
        <v>5</v>
      </c>
      <c r="BY29">
        <v>7</v>
      </c>
      <c r="BZ29">
        <v>208</v>
      </c>
      <c r="CA29">
        <v>5</v>
      </c>
      <c r="CB29">
        <v>0</v>
      </c>
      <c r="CC29">
        <v>1</v>
      </c>
      <c r="CD29">
        <v>1</v>
      </c>
      <c r="CE29">
        <v>1</v>
      </c>
      <c r="CF29">
        <v>1</v>
      </c>
      <c r="CG29">
        <v>0</v>
      </c>
      <c r="CH29">
        <v>0</v>
      </c>
      <c r="CI29">
        <v>1</v>
      </c>
      <c r="CJ29">
        <v>0</v>
      </c>
      <c r="CK29">
        <v>0</v>
      </c>
      <c r="CL29">
        <v>5</v>
      </c>
      <c r="CM29">
        <v>17</v>
      </c>
      <c r="CN29">
        <v>12</v>
      </c>
      <c r="CO29">
        <v>1</v>
      </c>
      <c r="CP29">
        <v>0</v>
      </c>
      <c r="CQ29">
        <v>0</v>
      </c>
      <c r="CR29">
        <v>0</v>
      </c>
      <c r="CS29">
        <v>0</v>
      </c>
      <c r="CT29">
        <v>1</v>
      </c>
      <c r="CU29">
        <v>0</v>
      </c>
      <c r="CV29">
        <v>0</v>
      </c>
      <c r="CW29">
        <v>3</v>
      </c>
      <c r="CX29">
        <v>17</v>
      </c>
      <c r="CY29">
        <v>45</v>
      </c>
      <c r="CZ29">
        <v>34</v>
      </c>
      <c r="DA29">
        <v>2</v>
      </c>
      <c r="DB29">
        <v>0</v>
      </c>
      <c r="DC29">
        <v>0</v>
      </c>
      <c r="DD29">
        <v>0</v>
      </c>
      <c r="DE29">
        <v>2</v>
      </c>
      <c r="DF29">
        <v>2</v>
      </c>
      <c r="DG29">
        <v>0</v>
      </c>
      <c r="DH29">
        <v>4</v>
      </c>
      <c r="DI29">
        <v>1</v>
      </c>
      <c r="DJ29">
        <v>45</v>
      </c>
      <c r="DK29">
        <v>106</v>
      </c>
      <c r="DL29">
        <v>48</v>
      </c>
      <c r="DM29">
        <v>6</v>
      </c>
      <c r="DN29">
        <v>0</v>
      </c>
      <c r="DO29">
        <v>2</v>
      </c>
      <c r="DP29">
        <v>0</v>
      </c>
      <c r="DQ29">
        <v>1</v>
      </c>
      <c r="DR29">
        <v>46</v>
      </c>
      <c r="DS29">
        <v>2</v>
      </c>
      <c r="DT29">
        <v>1</v>
      </c>
      <c r="DU29">
        <v>0</v>
      </c>
      <c r="DV29">
        <v>106</v>
      </c>
      <c r="DW29">
        <v>10</v>
      </c>
      <c r="DX29">
        <v>3</v>
      </c>
      <c r="DY29">
        <v>5</v>
      </c>
      <c r="DZ29">
        <v>0</v>
      </c>
      <c r="EA29">
        <v>0</v>
      </c>
      <c r="EB29">
        <v>1</v>
      </c>
      <c r="EC29">
        <v>0</v>
      </c>
      <c r="ED29">
        <v>0</v>
      </c>
      <c r="EE29">
        <v>1</v>
      </c>
      <c r="EF29">
        <v>0</v>
      </c>
      <c r="EG29">
        <v>0</v>
      </c>
      <c r="EH29">
        <v>10</v>
      </c>
      <c r="EI29">
        <v>3</v>
      </c>
      <c r="EJ29">
        <v>0</v>
      </c>
      <c r="EK29">
        <v>3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3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4</v>
      </c>
      <c r="FF29">
        <v>0</v>
      </c>
      <c r="FG29">
        <v>2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2</v>
      </c>
      <c r="FP29">
        <v>4</v>
      </c>
    </row>
    <row r="30" spans="1:172" ht="14.25">
      <c r="A30">
        <v>25</v>
      </c>
      <c r="B30" t="str">
        <f t="shared" si="0"/>
        <v>100101</v>
      </c>
      <c r="C30" t="str">
        <f t="shared" si="1"/>
        <v>m. Bełchatów</v>
      </c>
      <c r="D30" t="str">
        <f t="shared" si="2"/>
        <v>bełchatowski</v>
      </c>
      <c r="E30" t="str">
        <f t="shared" si="3"/>
        <v>łódzkie</v>
      </c>
      <c r="F30">
        <v>25</v>
      </c>
      <c r="G30" t="str">
        <f>"Szkoła Podstawowa Nr 1, ul. Dąbrowskiego 11, 97-400 Bełchatów"</f>
        <v>Szkoła Podstawowa Nr 1, ul. Dąbrowskiego 11, 97-400 Bełchatów</v>
      </c>
      <c r="H30">
        <v>2091</v>
      </c>
      <c r="I30">
        <v>2091</v>
      </c>
      <c r="J30">
        <v>0</v>
      </c>
      <c r="K30">
        <v>1460</v>
      </c>
      <c r="L30">
        <v>921</v>
      </c>
      <c r="M30">
        <v>539</v>
      </c>
      <c r="N30">
        <v>539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539</v>
      </c>
      <c r="Z30">
        <v>0</v>
      </c>
      <c r="AA30">
        <v>0</v>
      </c>
      <c r="AB30">
        <v>539</v>
      </c>
      <c r="AC30">
        <v>21</v>
      </c>
      <c r="AD30">
        <v>518</v>
      </c>
      <c r="AE30">
        <v>14</v>
      </c>
      <c r="AF30">
        <v>5</v>
      </c>
      <c r="AG30">
        <v>0</v>
      </c>
      <c r="AH30">
        <v>1</v>
      </c>
      <c r="AI30">
        <v>2</v>
      </c>
      <c r="AJ30">
        <v>1</v>
      </c>
      <c r="AK30">
        <v>0</v>
      </c>
      <c r="AL30">
        <v>0</v>
      </c>
      <c r="AM30">
        <v>2</v>
      </c>
      <c r="AN30">
        <v>0</v>
      </c>
      <c r="AO30">
        <v>3</v>
      </c>
      <c r="AP30">
        <v>14</v>
      </c>
      <c r="AQ30">
        <v>10</v>
      </c>
      <c r="AR30">
        <v>8</v>
      </c>
      <c r="AS30">
        <v>0</v>
      </c>
      <c r="AT30">
        <v>1</v>
      </c>
      <c r="AU30">
        <v>0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10</v>
      </c>
      <c r="BC30">
        <v>85</v>
      </c>
      <c r="BD30">
        <v>11</v>
      </c>
      <c r="BE30">
        <v>1</v>
      </c>
      <c r="BF30">
        <v>2</v>
      </c>
      <c r="BG30">
        <v>2</v>
      </c>
      <c r="BH30">
        <v>0</v>
      </c>
      <c r="BI30">
        <v>0</v>
      </c>
      <c r="BJ30">
        <v>52</v>
      </c>
      <c r="BK30">
        <v>0</v>
      </c>
      <c r="BL30">
        <v>1</v>
      </c>
      <c r="BM30">
        <v>16</v>
      </c>
      <c r="BN30">
        <v>85</v>
      </c>
      <c r="BO30">
        <v>219</v>
      </c>
      <c r="BP30">
        <v>169</v>
      </c>
      <c r="BQ30">
        <v>10</v>
      </c>
      <c r="BR30">
        <v>8</v>
      </c>
      <c r="BS30">
        <v>7</v>
      </c>
      <c r="BT30">
        <v>0</v>
      </c>
      <c r="BU30">
        <v>9</v>
      </c>
      <c r="BV30">
        <v>3</v>
      </c>
      <c r="BW30">
        <v>3</v>
      </c>
      <c r="BX30">
        <v>1</v>
      </c>
      <c r="BY30">
        <v>9</v>
      </c>
      <c r="BZ30">
        <v>219</v>
      </c>
      <c r="CA30">
        <v>11</v>
      </c>
      <c r="CB30">
        <v>3</v>
      </c>
      <c r="CC30">
        <v>6</v>
      </c>
      <c r="CD30">
        <v>2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11</v>
      </c>
      <c r="CM30">
        <v>8</v>
      </c>
      <c r="CN30">
        <v>5</v>
      </c>
      <c r="CO30">
        <v>0</v>
      </c>
      <c r="CP30">
        <v>0</v>
      </c>
      <c r="CQ30">
        <v>2</v>
      </c>
      <c r="CR30">
        <v>0</v>
      </c>
      <c r="CS30">
        <v>0</v>
      </c>
      <c r="CT30">
        <v>0</v>
      </c>
      <c r="CU30">
        <v>1</v>
      </c>
      <c r="CV30">
        <v>0</v>
      </c>
      <c r="CW30">
        <v>0</v>
      </c>
      <c r="CX30">
        <v>8</v>
      </c>
      <c r="CY30">
        <v>34</v>
      </c>
      <c r="CZ30">
        <v>20</v>
      </c>
      <c r="DA30">
        <v>5</v>
      </c>
      <c r="DB30">
        <v>1</v>
      </c>
      <c r="DC30">
        <v>1</v>
      </c>
      <c r="DD30">
        <v>1</v>
      </c>
      <c r="DE30">
        <v>1</v>
      </c>
      <c r="DF30">
        <v>2</v>
      </c>
      <c r="DG30">
        <v>0</v>
      </c>
      <c r="DH30">
        <v>2</v>
      </c>
      <c r="DI30">
        <v>1</v>
      </c>
      <c r="DJ30">
        <v>34</v>
      </c>
      <c r="DK30">
        <v>115</v>
      </c>
      <c r="DL30">
        <v>63</v>
      </c>
      <c r="DM30">
        <v>3</v>
      </c>
      <c r="DN30">
        <v>0</v>
      </c>
      <c r="DO30">
        <v>1</v>
      </c>
      <c r="DP30">
        <v>0</v>
      </c>
      <c r="DQ30">
        <v>2</v>
      </c>
      <c r="DR30">
        <v>45</v>
      </c>
      <c r="DS30">
        <v>0</v>
      </c>
      <c r="DT30">
        <v>0</v>
      </c>
      <c r="DU30">
        <v>1</v>
      </c>
      <c r="DV30">
        <v>115</v>
      </c>
      <c r="DW30">
        <v>13</v>
      </c>
      <c r="DX30">
        <v>1</v>
      </c>
      <c r="DY30">
        <v>6</v>
      </c>
      <c r="DZ30">
        <v>0</v>
      </c>
      <c r="EA30">
        <v>0</v>
      </c>
      <c r="EB30">
        <v>2</v>
      </c>
      <c r="EC30">
        <v>2</v>
      </c>
      <c r="ED30">
        <v>0</v>
      </c>
      <c r="EE30">
        <v>0</v>
      </c>
      <c r="EF30">
        <v>0</v>
      </c>
      <c r="EG30">
        <v>2</v>
      </c>
      <c r="EH30">
        <v>13</v>
      </c>
      <c r="EI30">
        <v>3</v>
      </c>
      <c r="EJ30">
        <v>1</v>
      </c>
      <c r="EK30">
        <v>2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3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6</v>
      </c>
      <c r="FF30">
        <v>2</v>
      </c>
      <c r="FG30">
        <v>2</v>
      </c>
      <c r="FH30">
        <v>0</v>
      </c>
      <c r="FI30">
        <v>0</v>
      </c>
      <c r="FJ30">
        <v>0</v>
      </c>
      <c r="FK30">
        <v>1</v>
      </c>
      <c r="FL30">
        <v>0</v>
      </c>
      <c r="FM30">
        <v>0</v>
      </c>
      <c r="FN30">
        <v>0</v>
      </c>
      <c r="FO30">
        <v>1</v>
      </c>
      <c r="FP30">
        <v>6</v>
      </c>
    </row>
    <row r="31" spans="1:172" ht="14.25">
      <c r="A31">
        <v>26</v>
      </c>
      <c r="B31" t="str">
        <f t="shared" si="0"/>
        <v>100101</v>
      </c>
      <c r="C31" t="str">
        <f t="shared" si="1"/>
        <v>m. Bełchatów</v>
      </c>
      <c r="D31" t="str">
        <f t="shared" si="2"/>
        <v>bełchatowski</v>
      </c>
      <c r="E31" t="str">
        <f t="shared" si="3"/>
        <v>łódzkie</v>
      </c>
      <c r="F31">
        <v>26</v>
      </c>
      <c r="G31" t="str">
        <f>"Publiczne Gimnazjum Nr 1, ul. Dąbrowskiego 11, 97-400 Bełchatów"</f>
        <v>Publiczne Gimnazjum Nr 1, ul. Dąbrowskiego 11, 97-400 Bełchatów</v>
      </c>
      <c r="H31">
        <v>1770</v>
      </c>
      <c r="I31">
        <v>1770</v>
      </c>
      <c r="J31">
        <v>0</v>
      </c>
      <c r="K31">
        <v>1230</v>
      </c>
      <c r="L31">
        <v>800</v>
      </c>
      <c r="M31">
        <v>430</v>
      </c>
      <c r="N31">
        <v>430</v>
      </c>
      <c r="O31">
        <v>0</v>
      </c>
      <c r="P31">
        <v>0</v>
      </c>
      <c r="Q31">
        <v>2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430</v>
      </c>
      <c r="Z31">
        <v>0</v>
      </c>
      <c r="AA31">
        <v>0</v>
      </c>
      <c r="AB31">
        <v>430</v>
      </c>
      <c r="AC31">
        <v>15</v>
      </c>
      <c r="AD31">
        <v>415</v>
      </c>
      <c r="AE31">
        <v>16</v>
      </c>
      <c r="AF31">
        <v>5</v>
      </c>
      <c r="AG31">
        <v>1</v>
      </c>
      <c r="AH31">
        <v>4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0</v>
      </c>
      <c r="AO31">
        <v>3</v>
      </c>
      <c r="AP31">
        <v>16</v>
      </c>
      <c r="AQ31">
        <v>12</v>
      </c>
      <c r="AR31">
        <v>8</v>
      </c>
      <c r="AS31">
        <v>0</v>
      </c>
      <c r="AT31">
        <v>0</v>
      </c>
      <c r="AU31">
        <v>0</v>
      </c>
      <c r="AV31">
        <v>2</v>
      </c>
      <c r="AW31">
        <v>0</v>
      </c>
      <c r="AX31">
        <v>1</v>
      </c>
      <c r="AY31">
        <v>0</v>
      </c>
      <c r="AZ31">
        <v>1</v>
      </c>
      <c r="BA31">
        <v>0</v>
      </c>
      <c r="BB31">
        <v>12</v>
      </c>
      <c r="BC31">
        <v>63</v>
      </c>
      <c r="BD31">
        <v>7</v>
      </c>
      <c r="BE31">
        <v>3</v>
      </c>
      <c r="BF31">
        <v>0</v>
      </c>
      <c r="BG31">
        <v>0</v>
      </c>
      <c r="BH31">
        <v>1</v>
      </c>
      <c r="BI31">
        <v>1</v>
      </c>
      <c r="BJ31">
        <v>40</v>
      </c>
      <c r="BK31">
        <v>0</v>
      </c>
      <c r="BL31">
        <v>0</v>
      </c>
      <c r="BM31">
        <v>11</v>
      </c>
      <c r="BN31">
        <v>63</v>
      </c>
      <c r="BO31">
        <v>168</v>
      </c>
      <c r="BP31">
        <v>131</v>
      </c>
      <c r="BQ31">
        <v>9</v>
      </c>
      <c r="BR31">
        <v>8</v>
      </c>
      <c r="BS31">
        <v>3</v>
      </c>
      <c r="BT31">
        <v>3</v>
      </c>
      <c r="BU31">
        <v>5</v>
      </c>
      <c r="BV31">
        <v>1</v>
      </c>
      <c r="BW31">
        <v>0</v>
      </c>
      <c r="BX31">
        <v>3</v>
      </c>
      <c r="BY31">
        <v>5</v>
      </c>
      <c r="BZ31">
        <v>168</v>
      </c>
      <c r="CA31">
        <v>3</v>
      </c>
      <c r="CB31">
        <v>1</v>
      </c>
      <c r="CC31">
        <v>1</v>
      </c>
      <c r="CD31">
        <v>0</v>
      </c>
      <c r="CE31">
        <v>0</v>
      </c>
      <c r="CF31">
        <v>0</v>
      </c>
      <c r="CG31">
        <v>0</v>
      </c>
      <c r="CH31">
        <v>1</v>
      </c>
      <c r="CI31">
        <v>0</v>
      </c>
      <c r="CJ31">
        <v>0</v>
      </c>
      <c r="CK31">
        <v>0</v>
      </c>
      <c r="CL31">
        <v>3</v>
      </c>
      <c r="CM31">
        <v>10</v>
      </c>
      <c r="CN31">
        <v>7</v>
      </c>
      <c r="CO31">
        <v>1</v>
      </c>
      <c r="CP31">
        <v>1</v>
      </c>
      <c r="CQ31">
        <v>0</v>
      </c>
      <c r="CR31">
        <v>0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10</v>
      </c>
      <c r="CY31">
        <v>28</v>
      </c>
      <c r="CZ31">
        <v>17</v>
      </c>
      <c r="DA31">
        <v>4</v>
      </c>
      <c r="DB31">
        <v>0</v>
      </c>
      <c r="DC31">
        <v>1</v>
      </c>
      <c r="DD31">
        <v>0</v>
      </c>
      <c r="DE31">
        <v>0</v>
      </c>
      <c r="DF31">
        <v>0</v>
      </c>
      <c r="DG31">
        <v>2</v>
      </c>
      <c r="DH31">
        <v>2</v>
      </c>
      <c r="DI31">
        <v>2</v>
      </c>
      <c r="DJ31">
        <v>28</v>
      </c>
      <c r="DK31">
        <v>97</v>
      </c>
      <c r="DL31">
        <v>44</v>
      </c>
      <c r="DM31">
        <v>5</v>
      </c>
      <c r="DN31">
        <v>1</v>
      </c>
      <c r="DO31">
        <v>1</v>
      </c>
      <c r="DP31">
        <v>1</v>
      </c>
      <c r="DQ31">
        <v>0</v>
      </c>
      <c r="DR31">
        <v>44</v>
      </c>
      <c r="DS31">
        <v>0</v>
      </c>
      <c r="DT31">
        <v>0</v>
      </c>
      <c r="DU31">
        <v>1</v>
      </c>
      <c r="DV31">
        <v>97</v>
      </c>
      <c r="DW31">
        <v>14</v>
      </c>
      <c r="DX31">
        <v>3</v>
      </c>
      <c r="DY31">
        <v>2</v>
      </c>
      <c r="DZ31">
        <v>0</v>
      </c>
      <c r="EA31">
        <v>0</v>
      </c>
      <c r="EB31">
        <v>4</v>
      </c>
      <c r="EC31">
        <v>3</v>
      </c>
      <c r="ED31">
        <v>1</v>
      </c>
      <c r="EE31">
        <v>1</v>
      </c>
      <c r="EF31">
        <v>0</v>
      </c>
      <c r="EG31">
        <v>0</v>
      </c>
      <c r="EH31">
        <v>14</v>
      </c>
      <c r="EI31">
        <v>1</v>
      </c>
      <c r="EJ31">
        <v>0</v>
      </c>
      <c r="EK31">
        <v>0</v>
      </c>
      <c r="EL31">
        <v>1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1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3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2</v>
      </c>
      <c r="FM31">
        <v>0</v>
      </c>
      <c r="FN31">
        <v>0</v>
      </c>
      <c r="FO31">
        <v>1</v>
      </c>
      <c r="FP31">
        <v>3</v>
      </c>
    </row>
    <row r="32" spans="1:172" ht="14.25">
      <c r="A32">
        <v>27</v>
      </c>
      <c r="B32" t="str">
        <f t="shared" si="0"/>
        <v>100101</v>
      </c>
      <c r="C32" t="str">
        <f t="shared" si="1"/>
        <v>m. Bełchatów</v>
      </c>
      <c r="D32" t="str">
        <f t="shared" si="2"/>
        <v>bełchatowski</v>
      </c>
      <c r="E32" t="str">
        <f t="shared" si="3"/>
        <v>łódzkie</v>
      </c>
      <c r="F32">
        <v>27</v>
      </c>
      <c r="G32" t="str">
        <f>"Szpital Wojewódzki im. Jana Pawła II, ul. Czapliniecka 123, 97-400 Bełchatów"</f>
        <v>Szpital Wojewódzki im. Jana Pawła II, ul. Czapliniecka 123, 97-400 Bełchatów</v>
      </c>
      <c r="H32">
        <v>383</v>
      </c>
      <c r="I32">
        <v>383</v>
      </c>
      <c r="J32">
        <v>0</v>
      </c>
      <c r="K32">
        <v>501</v>
      </c>
      <c r="L32">
        <v>433</v>
      </c>
      <c r="M32">
        <v>68</v>
      </c>
      <c r="N32">
        <v>68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68</v>
      </c>
      <c r="Z32">
        <v>0</v>
      </c>
      <c r="AA32">
        <v>0</v>
      </c>
      <c r="AB32">
        <v>68</v>
      </c>
      <c r="AC32">
        <v>9</v>
      </c>
      <c r="AD32">
        <v>59</v>
      </c>
      <c r="AE32">
        <v>3</v>
      </c>
      <c r="AF32">
        <v>0</v>
      </c>
      <c r="AG32">
        <v>1</v>
      </c>
      <c r="AH32">
        <v>1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3</v>
      </c>
      <c r="AQ32">
        <v>1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1</v>
      </c>
      <c r="BC32">
        <v>7</v>
      </c>
      <c r="BD32">
        <v>0</v>
      </c>
      <c r="BE32">
        <v>2</v>
      </c>
      <c r="BF32">
        <v>1</v>
      </c>
      <c r="BG32">
        <v>0</v>
      </c>
      <c r="BH32">
        <v>0</v>
      </c>
      <c r="BI32">
        <v>0</v>
      </c>
      <c r="BJ32">
        <v>3</v>
      </c>
      <c r="BK32">
        <v>0</v>
      </c>
      <c r="BL32">
        <v>0</v>
      </c>
      <c r="BM32">
        <v>1</v>
      </c>
      <c r="BN32">
        <v>7</v>
      </c>
      <c r="BO32">
        <v>32</v>
      </c>
      <c r="BP32">
        <v>26</v>
      </c>
      <c r="BQ32">
        <v>4</v>
      </c>
      <c r="BR32">
        <v>1</v>
      </c>
      <c r="BS32">
        <v>0</v>
      </c>
      <c r="BT32">
        <v>1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32</v>
      </c>
      <c r="CA32">
        <v>1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1</v>
      </c>
      <c r="CK32">
        <v>0</v>
      </c>
      <c r="CL32">
        <v>1</v>
      </c>
      <c r="CM32">
        <v>1</v>
      </c>
      <c r="CN32">
        <v>1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1</v>
      </c>
      <c r="CY32">
        <v>4</v>
      </c>
      <c r="CZ32">
        <v>2</v>
      </c>
      <c r="DA32">
        <v>1</v>
      </c>
      <c r="DB32">
        <v>0</v>
      </c>
      <c r="DC32">
        <v>0</v>
      </c>
      <c r="DD32">
        <v>0</v>
      </c>
      <c r="DE32">
        <v>1</v>
      </c>
      <c r="DF32">
        <v>0</v>
      </c>
      <c r="DG32">
        <v>0</v>
      </c>
      <c r="DH32">
        <v>0</v>
      </c>
      <c r="DI32">
        <v>0</v>
      </c>
      <c r="DJ32">
        <v>4</v>
      </c>
      <c r="DK32">
        <v>8</v>
      </c>
      <c r="DL32">
        <v>4</v>
      </c>
      <c r="DM32">
        <v>1</v>
      </c>
      <c r="DN32">
        <v>0</v>
      </c>
      <c r="DO32">
        <v>1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8</v>
      </c>
      <c r="DW32">
        <v>1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1</v>
      </c>
      <c r="EF32">
        <v>0</v>
      </c>
      <c r="EG32">
        <v>0</v>
      </c>
      <c r="EH32">
        <v>1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1</v>
      </c>
      <c r="ET32">
        <v>0</v>
      </c>
      <c r="EU32">
        <v>1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</row>
    <row r="33" spans="1:172" ht="14.25">
      <c r="A33">
        <v>28</v>
      </c>
      <c r="B33" t="str">
        <f t="shared" si="0"/>
        <v>100101</v>
      </c>
      <c r="C33" t="str">
        <f t="shared" si="1"/>
        <v>m. Bełchatów</v>
      </c>
      <c r="D33" t="str">
        <f t="shared" si="2"/>
        <v>bełchatowski</v>
      </c>
      <c r="E33" t="str">
        <f t="shared" si="3"/>
        <v>łódzkie</v>
      </c>
      <c r="F33">
        <v>28</v>
      </c>
      <c r="G33" t="str">
        <f>"Dom Pomocy Społecznej, ul. Dąbrowskiego 2, 97-400 Bełchatów"</f>
        <v>Dom Pomocy Społecznej, ul. Dąbrowskiego 2, 97-400 Bełchatów</v>
      </c>
      <c r="H33">
        <v>77</v>
      </c>
      <c r="I33">
        <v>77</v>
      </c>
      <c r="J33">
        <v>0</v>
      </c>
      <c r="K33">
        <v>100</v>
      </c>
      <c r="L33">
        <v>72</v>
      </c>
      <c r="M33">
        <v>28</v>
      </c>
      <c r="N33">
        <v>28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28</v>
      </c>
      <c r="Z33">
        <v>0</v>
      </c>
      <c r="AA33">
        <v>0</v>
      </c>
      <c r="AB33">
        <v>28</v>
      </c>
      <c r="AC33">
        <v>2</v>
      </c>
      <c r="AD33">
        <v>26</v>
      </c>
      <c r="AE33">
        <v>6</v>
      </c>
      <c r="AF33">
        <v>0</v>
      </c>
      <c r="AG33">
        <v>1</v>
      </c>
      <c r="AH33">
        <v>0</v>
      </c>
      <c r="AI33">
        <v>0</v>
      </c>
      <c r="AJ33">
        <v>2</v>
      </c>
      <c r="AK33">
        <v>1</v>
      </c>
      <c r="AL33">
        <v>0</v>
      </c>
      <c r="AM33">
        <v>1</v>
      </c>
      <c r="AN33">
        <v>1</v>
      </c>
      <c r="AO33">
        <v>0</v>
      </c>
      <c r="AP33">
        <v>6</v>
      </c>
      <c r="AQ33">
        <v>1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1</v>
      </c>
      <c r="BB33">
        <v>1</v>
      </c>
      <c r="BC33">
        <v>5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4</v>
      </c>
      <c r="BK33">
        <v>0</v>
      </c>
      <c r="BL33">
        <v>0</v>
      </c>
      <c r="BM33">
        <v>0</v>
      </c>
      <c r="BN33">
        <v>5</v>
      </c>
      <c r="BO33">
        <v>7</v>
      </c>
      <c r="BP33">
        <v>6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1</v>
      </c>
      <c r="BY33">
        <v>0</v>
      </c>
      <c r="BZ33">
        <v>7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1</v>
      </c>
      <c r="CZ33">
        <v>1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1</v>
      </c>
      <c r="DK33">
        <v>4</v>
      </c>
      <c r="DL33">
        <v>0</v>
      </c>
      <c r="DM33">
        <v>2</v>
      </c>
      <c r="DN33">
        <v>0</v>
      </c>
      <c r="DO33">
        <v>0</v>
      </c>
      <c r="DP33">
        <v>0</v>
      </c>
      <c r="DQ33">
        <v>0</v>
      </c>
      <c r="DR33">
        <v>1</v>
      </c>
      <c r="DS33">
        <v>1</v>
      </c>
      <c r="DT33">
        <v>0</v>
      </c>
      <c r="DU33">
        <v>0</v>
      </c>
      <c r="DV33">
        <v>4</v>
      </c>
      <c r="DW33">
        <v>2</v>
      </c>
      <c r="DX33">
        <v>0</v>
      </c>
      <c r="DY33">
        <v>0</v>
      </c>
      <c r="DZ33">
        <v>1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1</v>
      </c>
      <c r="EH33">
        <v>2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</row>
    <row r="34" spans="1:172" ht="14.25">
      <c r="A34">
        <v>29</v>
      </c>
      <c r="B34" t="str">
        <f aca="true" t="shared" si="4" ref="B34:B42">"100102"</f>
        <v>100102</v>
      </c>
      <c r="C34" t="str">
        <f aca="true" t="shared" si="5" ref="C34:C42">"Bełchatów"</f>
        <v>Bełchatów</v>
      </c>
      <c r="D34" t="str">
        <f t="shared" si="2"/>
        <v>bełchatowski</v>
      </c>
      <c r="E34" t="str">
        <f t="shared" si="3"/>
        <v>łódzkie</v>
      </c>
      <c r="F34">
        <v>1</v>
      </c>
      <c r="G34" t="str">
        <f>"Szkoła Podstawowa, ul. Górna 7, Dobrzelów, 97-400 Bełchatów"</f>
        <v>Szkoła Podstawowa, ul. Górna 7, Dobrzelów, 97-400 Bełchatów</v>
      </c>
      <c r="H34">
        <v>1050</v>
      </c>
      <c r="I34">
        <v>1050</v>
      </c>
      <c r="J34">
        <v>0</v>
      </c>
      <c r="K34">
        <v>730</v>
      </c>
      <c r="L34">
        <v>496</v>
      </c>
      <c r="M34">
        <v>234</v>
      </c>
      <c r="N34">
        <v>234</v>
      </c>
      <c r="O34">
        <v>0</v>
      </c>
      <c r="P34">
        <v>0</v>
      </c>
      <c r="Q34">
        <v>2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234</v>
      </c>
      <c r="Z34">
        <v>0</v>
      </c>
      <c r="AA34">
        <v>0</v>
      </c>
      <c r="AB34">
        <v>234</v>
      </c>
      <c r="AC34">
        <v>6</v>
      </c>
      <c r="AD34">
        <v>228</v>
      </c>
      <c r="AE34">
        <v>6</v>
      </c>
      <c r="AF34">
        <v>4</v>
      </c>
      <c r="AG34">
        <v>1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6</v>
      </c>
      <c r="AQ34">
        <v>1</v>
      </c>
      <c r="AR34">
        <v>1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20</v>
      </c>
      <c r="BD34">
        <v>3</v>
      </c>
      <c r="BE34">
        <v>0</v>
      </c>
      <c r="BF34">
        <v>0</v>
      </c>
      <c r="BG34">
        <v>0</v>
      </c>
      <c r="BH34">
        <v>1</v>
      </c>
      <c r="BI34">
        <v>0</v>
      </c>
      <c r="BJ34">
        <v>16</v>
      </c>
      <c r="BK34">
        <v>0</v>
      </c>
      <c r="BL34">
        <v>0</v>
      </c>
      <c r="BM34">
        <v>0</v>
      </c>
      <c r="BN34">
        <v>20</v>
      </c>
      <c r="BO34">
        <v>136</v>
      </c>
      <c r="BP34">
        <v>108</v>
      </c>
      <c r="BQ34">
        <v>2</v>
      </c>
      <c r="BR34">
        <v>2</v>
      </c>
      <c r="BS34">
        <v>2</v>
      </c>
      <c r="BT34">
        <v>0</v>
      </c>
      <c r="BU34">
        <v>12</v>
      </c>
      <c r="BV34">
        <v>0</v>
      </c>
      <c r="BW34">
        <v>6</v>
      </c>
      <c r="BX34">
        <v>2</v>
      </c>
      <c r="BY34">
        <v>2</v>
      </c>
      <c r="BZ34">
        <v>136</v>
      </c>
      <c r="CA34">
        <v>3</v>
      </c>
      <c r="CB34">
        <v>1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1</v>
      </c>
      <c r="CJ34">
        <v>0</v>
      </c>
      <c r="CK34">
        <v>0</v>
      </c>
      <c r="CL34">
        <v>3</v>
      </c>
      <c r="CM34">
        <v>4</v>
      </c>
      <c r="CN34">
        <v>4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4</v>
      </c>
      <c r="CY34">
        <v>10</v>
      </c>
      <c r="CZ34">
        <v>6</v>
      </c>
      <c r="DA34">
        <v>2</v>
      </c>
      <c r="DB34">
        <v>1</v>
      </c>
      <c r="DC34">
        <v>0</v>
      </c>
      <c r="DD34">
        <v>0</v>
      </c>
      <c r="DE34">
        <v>1</v>
      </c>
      <c r="DF34">
        <v>0</v>
      </c>
      <c r="DG34">
        <v>0</v>
      </c>
      <c r="DH34">
        <v>0</v>
      </c>
      <c r="DI34">
        <v>0</v>
      </c>
      <c r="DJ34">
        <v>10</v>
      </c>
      <c r="DK34">
        <v>34</v>
      </c>
      <c r="DL34">
        <v>17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17</v>
      </c>
      <c r="DS34">
        <v>0</v>
      </c>
      <c r="DT34">
        <v>0</v>
      </c>
      <c r="DU34">
        <v>0</v>
      </c>
      <c r="DV34">
        <v>34</v>
      </c>
      <c r="DW34">
        <v>14</v>
      </c>
      <c r="DX34">
        <v>3</v>
      </c>
      <c r="DY34">
        <v>5</v>
      </c>
      <c r="DZ34">
        <v>0</v>
      </c>
      <c r="EA34">
        <v>3</v>
      </c>
      <c r="EB34">
        <v>0</v>
      </c>
      <c r="EC34">
        <v>3</v>
      </c>
      <c r="ED34">
        <v>0</v>
      </c>
      <c r="EE34">
        <v>0</v>
      </c>
      <c r="EF34">
        <v>0</v>
      </c>
      <c r="EG34">
        <v>0</v>
      </c>
      <c r="EH34">
        <v>14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</row>
    <row r="35" spans="1:172" ht="14.25">
      <c r="A35">
        <v>30</v>
      </c>
      <c r="B35" t="str">
        <f t="shared" si="4"/>
        <v>100102</v>
      </c>
      <c r="C35" t="str">
        <f t="shared" si="5"/>
        <v>Bełchatów</v>
      </c>
      <c r="D35" t="str">
        <f t="shared" si="2"/>
        <v>bełchatowski</v>
      </c>
      <c r="E35" t="str">
        <f t="shared" si="3"/>
        <v>łódzkie</v>
      </c>
      <c r="F35">
        <v>2</v>
      </c>
      <c r="G35" t="str">
        <f>"Szkoła Podstawowa, Korczew 37, 97-400 Bełchatów"</f>
        <v>Szkoła Podstawowa, Korczew 37, 97-400 Bełchatów</v>
      </c>
      <c r="H35">
        <v>1026</v>
      </c>
      <c r="I35">
        <v>1026</v>
      </c>
      <c r="J35">
        <v>0</v>
      </c>
      <c r="K35">
        <v>710</v>
      </c>
      <c r="L35">
        <v>522</v>
      </c>
      <c r="M35">
        <v>188</v>
      </c>
      <c r="N35">
        <v>188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188</v>
      </c>
      <c r="Z35">
        <v>0</v>
      </c>
      <c r="AA35">
        <v>0</v>
      </c>
      <c r="AB35">
        <v>188</v>
      </c>
      <c r="AC35">
        <v>20</v>
      </c>
      <c r="AD35">
        <v>168</v>
      </c>
      <c r="AE35">
        <v>4</v>
      </c>
      <c r="AF35">
        <v>2</v>
      </c>
      <c r="AG35">
        <v>0</v>
      </c>
      <c r="AH35">
        <v>2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4</v>
      </c>
      <c r="AQ35">
        <v>1</v>
      </c>
      <c r="AR35">
        <v>0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10</v>
      </c>
      <c r="BD35">
        <v>1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6</v>
      </c>
      <c r="BK35">
        <v>0</v>
      </c>
      <c r="BL35">
        <v>1</v>
      </c>
      <c r="BM35">
        <v>2</v>
      </c>
      <c r="BN35">
        <v>10</v>
      </c>
      <c r="BO35">
        <v>91</v>
      </c>
      <c r="BP35">
        <v>75</v>
      </c>
      <c r="BQ35">
        <v>2</v>
      </c>
      <c r="BR35">
        <v>3</v>
      </c>
      <c r="BS35">
        <v>3</v>
      </c>
      <c r="BT35">
        <v>1</v>
      </c>
      <c r="BU35">
        <v>3</v>
      </c>
      <c r="BV35">
        <v>0</v>
      </c>
      <c r="BW35">
        <v>2</v>
      </c>
      <c r="BX35">
        <v>0</v>
      </c>
      <c r="BY35">
        <v>2</v>
      </c>
      <c r="BZ35">
        <v>91</v>
      </c>
      <c r="CA35">
        <v>1</v>
      </c>
      <c r="CB35">
        <v>1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2</v>
      </c>
      <c r="CN35">
        <v>1</v>
      </c>
      <c r="CO35">
        <v>0</v>
      </c>
      <c r="CP35">
        <v>0</v>
      </c>
      <c r="CQ35">
        <v>0</v>
      </c>
      <c r="CR35">
        <v>0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2</v>
      </c>
      <c r="CY35">
        <v>18</v>
      </c>
      <c r="CZ35">
        <v>14</v>
      </c>
      <c r="DA35">
        <v>0</v>
      </c>
      <c r="DB35">
        <v>0</v>
      </c>
      <c r="DC35">
        <v>0</v>
      </c>
      <c r="DD35">
        <v>1</v>
      </c>
      <c r="DE35">
        <v>1</v>
      </c>
      <c r="DF35">
        <v>1</v>
      </c>
      <c r="DG35">
        <v>0</v>
      </c>
      <c r="DH35">
        <v>0</v>
      </c>
      <c r="DI35">
        <v>1</v>
      </c>
      <c r="DJ35">
        <v>18</v>
      </c>
      <c r="DK35">
        <v>31</v>
      </c>
      <c r="DL35">
        <v>22</v>
      </c>
      <c r="DM35">
        <v>3</v>
      </c>
      <c r="DN35">
        <v>0</v>
      </c>
      <c r="DO35">
        <v>0</v>
      </c>
      <c r="DP35">
        <v>0</v>
      </c>
      <c r="DQ35">
        <v>0</v>
      </c>
      <c r="DR35">
        <v>6</v>
      </c>
      <c r="DS35">
        <v>0</v>
      </c>
      <c r="DT35">
        <v>0</v>
      </c>
      <c r="DU35">
        <v>0</v>
      </c>
      <c r="DV35">
        <v>31</v>
      </c>
      <c r="DW35">
        <v>9</v>
      </c>
      <c r="DX35">
        <v>5</v>
      </c>
      <c r="DY35">
        <v>2</v>
      </c>
      <c r="DZ35">
        <v>0</v>
      </c>
      <c r="EA35">
        <v>0</v>
      </c>
      <c r="EB35">
        <v>1</v>
      </c>
      <c r="EC35">
        <v>1</v>
      </c>
      <c r="ED35">
        <v>0</v>
      </c>
      <c r="EE35">
        <v>0</v>
      </c>
      <c r="EF35">
        <v>0</v>
      </c>
      <c r="EG35">
        <v>0</v>
      </c>
      <c r="EH35">
        <v>9</v>
      </c>
      <c r="EI35">
        <v>1</v>
      </c>
      <c r="EJ35">
        <v>0</v>
      </c>
      <c r="EK35">
        <v>1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1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</row>
    <row r="36" spans="1:172" ht="14.25">
      <c r="A36">
        <v>31</v>
      </c>
      <c r="B36" t="str">
        <f t="shared" si="4"/>
        <v>100102</v>
      </c>
      <c r="C36" t="str">
        <f t="shared" si="5"/>
        <v>Bełchatów</v>
      </c>
      <c r="D36" t="str">
        <f t="shared" si="2"/>
        <v>bełchatowski</v>
      </c>
      <c r="E36" t="str">
        <f t="shared" si="3"/>
        <v>łódzkie</v>
      </c>
      <c r="F36">
        <v>3</v>
      </c>
      <c r="G36" t="str">
        <f>"Gminne Centrum Kultury, Zdzieszulice Dolne 20a, 97-400 Bełchatów"</f>
        <v>Gminne Centrum Kultury, Zdzieszulice Dolne 20a, 97-400 Bełchatów</v>
      </c>
      <c r="H36">
        <v>1448</v>
      </c>
      <c r="I36">
        <v>1448</v>
      </c>
      <c r="J36">
        <v>0</v>
      </c>
      <c r="K36">
        <v>1010</v>
      </c>
      <c r="L36">
        <v>698</v>
      </c>
      <c r="M36">
        <v>312</v>
      </c>
      <c r="N36">
        <v>312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312</v>
      </c>
      <c r="Z36">
        <v>0</v>
      </c>
      <c r="AA36">
        <v>0</v>
      </c>
      <c r="AB36">
        <v>312</v>
      </c>
      <c r="AC36">
        <v>10</v>
      </c>
      <c r="AD36">
        <v>302</v>
      </c>
      <c r="AE36">
        <v>2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0</v>
      </c>
      <c r="AL36">
        <v>1</v>
      </c>
      <c r="AM36">
        <v>0</v>
      </c>
      <c r="AN36">
        <v>0</v>
      </c>
      <c r="AO36">
        <v>0</v>
      </c>
      <c r="AP36">
        <v>2</v>
      </c>
      <c r="AQ36">
        <v>4</v>
      </c>
      <c r="AR36">
        <v>3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1</v>
      </c>
      <c r="AZ36">
        <v>0</v>
      </c>
      <c r="BA36">
        <v>0</v>
      </c>
      <c r="BB36">
        <v>4</v>
      </c>
      <c r="BC36">
        <v>16</v>
      </c>
      <c r="BD36">
        <v>2</v>
      </c>
      <c r="BE36">
        <v>2</v>
      </c>
      <c r="BF36">
        <v>0</v>
      </c>
      <c r="BG36">
        <v>0</v>
      </c>
      <c r="BH36">
        <v>0</v>
      </c>
      <c r="BI36">
        <v>0</v>
      </c>
      <c r="BJ36">
        <v>11</v>
      </c>
      <c r="BK36">
        <v>0</v>
      </c>
      <c r="BL36">
        <v>0</v>
      </c>
      <c r="BM36">
        <v>1</v>
      </c>
      <c r="BN36">
        <v>16</v>
      </c>
      <c r="BO36">
        <v>192</v>
      </c>
      <c r="BP36">
        <v>171</v>
      </c>
      <c r="BQ36">
        <v>3</v>
      </c>
      <c r="BR36">
        <v>0</v>
      </c>
      <c r="BS36">
        <v>3</v>
      </c>
      <c r="BT36">
        <v>2</v>
      </c>
      <c r="BU36">
        <v>2</v>
      </c>
      <c r="BV36">
        <v>2</v>
      </c>
      <c r="BW36">
        <v>2</v>
      </c>
      <c r="BX36">
        <v>2</v>
      </c>
      <c r="BY36">
        <v>5</v>
      </c>
      <c r="BZ36">
        <v>192</v>
      </c>
      <c r="CA36">
        <v>2</v>
      </c>
      <c r="CB36">
        <v>2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2</v>
      </c>
      <c r="CM36">
        <v>7</v>
      </c>
      <c r="CN36">
        <v>4</v>
      </c>
      <c r="CO36">
        <v>0</v>
      </c>
      <c r="CP36">
        <v>0</v>
      </c>
      <c r="CQ36">
        <v>1</v>
      </c>
      <c r="CR36">
        <v>0</v>
      </c>
      <c r="CS36">
        <v>0</v>
      </c>
      <c r="CT36">
        <v>1</v>
      </c>
      <c r="CU36">
        <v>0</v>
      </c>
      <c r="CV36">
        <v>0</v>
      </c>
      <c r="CW36">
        <v>1</v>
      </c>
      <c r="CX36">
        <v>7</v>
      </c>
      <c r="CY36">
        <v>25</v>
      </c>
      <c r="CZ36">
        <v>12</v>
      </c>
      <c r="DA36">
        <v>2</v>
      </c>
      <c r="DB36">
        <v>1</v>
      </c>
      <c r="DC36">
        <v>0</v>
      </c>
      <c r="DD36">
        <v>3</v>
      </c>
      <c r="DE36">
        <v>1</v>
      </c>
      <c r="DF36">
        <v>2</v>
      </c>
      <c r="DG36">
        <v>2</v>
      </c>
      <c r="DH36">
        <v>2</v>
      </c>
      <c r="DI36">
        <v>0</v>
      </c>
      <c r="DJ36">
        <v>25</v>
      </c>
      <c r="DK36">
        <v>36</v>
      </c>
      <c r="DL36">
        <v>20</v>
      </c>
      <c r="DM36">
        <v>2</v>
      </c>
      <c r="DN36">
        <v>1</v>
      </c>
      <c r="DO36">
        <v>0</v>
      </c>
      <c r="DP36">
        <v>0</v>
      </c>
      <c r="DQ36">
        <v>0</v>
      </c>
      <c r="DR36">
        <v>11</v>
      </c>
      <c r="DS36">
        <v>0</v>
      </c>
      <c r="DT36">
        <v>0</v>
      </c>
      <c r="DU36">
        <v>2</v>
      </c>
      <c r="DV36">
        <v>36</v>
      </c>
      <c r="DW36">
        <v>16</v>
      </c>
      <c r="DX36">
        <v>3</v>
      </c>
      <c r="DY36">
        <v>5</v>
      </c>
      <c r="DZ36">
        <v>0</v>
      </c>
      <c r="EA36">
        <v>0</v>
      </c>
      <c r="EB36">
        <v>7</v>
      </c>
      <c r="EC36">
        <v>1</v>
      </c>
      <c r="ED36">
        <v>0</v>
      </c>
      <c r="EE36">
        <v>0</v>
      </c>
      <c r="EF36">
        <v>0</v>
      </c>
      <c r="EG36">
        <v>0</v>
      </c>
      <c r="EH36">
        <v>16</v>
      </c>
      <c r="EI36">
        <v>1</v>
      </c>
      <c r="EJ36">
        <v>0</v>
      </c>
      <c r="EK36">
        <v>1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1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1</v>
      </c>
      <c r="FF36">
        <v>0</v>
      </c>
      <c r="FG36">
        <v>1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1</v>
      </c>
    </row>
    <row r="37" spans="1:172" ht="14.25">
      <c r="A37">
        <v>32</v>
      </c>
      <c r="B37" t="str">
        <f t="shared" si="4"/>
        <v>100102</v>
      </c>
      <c r="C37" t="str">
        <f t="shared" si="5"/>
        <v>Bełchatów</v>
      </c>
      <c r="D37" t="str">
        <f t="shared" si="2"/>
        <v>bełchatowski</v>
      </c>
      <c r="E37" t="str">
        <f t="shared" si="3"/>
        <v>łódzkie</v>
      </c>
      <c r="F37">
        <v>4</v>
      </c>
      <c r="G37" t="str">
        <f>"Szkoła Podstawowa, Łękawa 4, 97-400 Bełchatów"</f>
        <v>Szkoła Podstawowa, Łękawa 4, 97-400 Bełchatów</v>
      </c>
      <c r="H37">
        <v>931</v>
      </c>
      <c r="I37">
        <v>931</v>
      </c>
      <c r="J37">
        <v>0</v>
      </c>
      <c r="K37">
        <v>660</v>
      </c>
      <c r="L37">
        <v>480</v>
      </c>
      <c r="M37">
        <v>180</v>
      </c>
      <c r="N37">
        <v>180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180</v>
      </c>
      <c r="Z37">
        <v>0</v>
      </c>
      <c r="AA37">
        <v>0</v>
      </c>
      <c r="AB37">
        <v>180</v>
      </c>
      <c r="AC37">
        <v>6</v>
      </c>
      <c r="AD37">
        <v>174</v>
      </c>
      <c r="AE37">
        <v>11</v>
      </c>
      <c r="AF37">
        <v>2</v>
      </c>
      <c r="AG37">
        <v>1</v>
      </c>
      <c r="AH37">
        <v>2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5</v>
      </c>
      <c r="AP37">
        <v>11</v>
      </c>
      <c r="AQ37">
        <v>2</v>
      </c>
      <c r="AR37">
        <v>1</v>
      </c>
      <c r="AS37">
        <v>0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2</v>
      </c>
      <c r="BC37">
        <v>7</v>
      </c>
      <c r="BD37">
        <v>2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5</v>
      </c>
      <c r="BK37">
        <v>0</v>
      </c>
      <c r="BL37">
        <v>0</v>
      </c>
      <c r="BM37">
        <v>0</v>
      </c>
      <c r="BN37">
        <v>7</v>
      </c>
      <c r="BO37">
        <v>111</v>
      </c>
      <c r="BP37">
        <v>92</v>
      </c>
      <c r="BQ37">
        <v>4</v>
      </c>
      <c r="BR37">
        <v>1</v>
      </c>
      <c r="BS37">
        <v>4</v>
      </c>
      <c r="BT37">
        <v>0</v>
      </c>
      <c r="BU37">
        <v>1</v>
      </c>
      <c r="BV37">
        <v>1</v>
      </c>
      <c r="BW37">
        <v>2</v>
      </c>
      <c r="BX37">
        <v>0</v>
      </c>
      <c r="BY37">
        <v>6</v>
      </c>
      <c r="BZ37">
        <v>111</v>
      </c>
      <c r="CA37">
        <v>2</v>
      </c>
      <c r="CB37">
        <v>0</v>
      </c>
      <c r="CC37">
        <v>2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8</v>
      </c>
      <c r="CZ37">
        <v>2</v>
      </c>
      <c r="DA37">
        <v>2</v>
      </c>
      <c r="DB37">
        <v>0</v>
      </c>
      <c r="DC37">
        <v>0</v>
      </c>
      <c r="DD37">
        <v>0</v>
      </c>
      <c r="DE37">
        <v>3</v>
      </c>
      <c r="DF37">
        <v>0</v>
      </c>
      <c r="DG37">
        <v>0</v>
      </c>
      <c r="DH37">
        <v>1</v>
      </c>
      <c r="DI37">
        <v>0</v>
      </c>
      <c r="DJ37">
        <v>8</v>
      </c>
      <c r="DK37">
        <v>23</v>
      </c>
      <c r="DL37">
        <v>9</v>
      </c>
      <c r="DM37">
        <v>2</v>
      </c>
      <c r="DN37">
        <v>0</v>
      </c>
      <c r="DO37">
        <v>3</v>
      </c>
      <c r="DP37">
        <v>1</v>
      </c>
      <c r="DQ37">
        <v>1</v>
      </c>
      <c r="DR37">
        <v>5</v>
      </c>
      <c r="DS37">
        <v>0</v>
      </c>
      <c r="DT37">
        <v>2</v>
      </c>
      <c r="DU37">
        <v>0</v>
      </c>
      <c r="DV37">
        <v>23</v>
      </c>
      <c r="DW37">
        <v>8</v>
      </c>
      <c r="DX37">
        <v>1</v>
      </c>
      <c r="DY37">
        <v>6</v>
      </c>
      <c r="DZ37">
        <v>0</v>
      </c>
      <c r="EA37">
        <v>0</v>
      </c>
      <c r="EB37">
        <v>1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8</v>
      </c>
      <c r="EI37">
        <v>1</v>
      </c>
      <c r="EJ37">
        <v>1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1</v>
      </c>
      <c r="ES37">
        <v>1</v>
      </c>
      <c r="ET37">
        <v>1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1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</row>
    <row r="38" spans="1:172" ht="14.25">
      <c r="A38">
        <v>33</v>
      </c>
      <c r="B38" t="str">
        <f t="shared" si="4"/>
        <v>100102</v>
      </c>
      <c r="C38" t="str">
        <f t="shared" si="5"/>
        <v>Bełchatów</v>
      </c>
      <c r="D38" t="str">
        <f aca="true" t="shared" si="6" ref="D38:D69">"bełchatowski"</f>
        <v>bełchatowski</v>
      </c>
      <c r="E38" t="str">
        <f t="shared" si="3"/>
        <v>łódzkie</v>
      </c>
      <c r="F38">
        <v>5</v>
      </c>
      <c r="G38" t="str">
        <f>"Strażnica OSP, Oleśnik 59, 97-400 Bełchatów"</f>
        <v>Strażnica OSP, Oleśnik 59, 97-400 Bełchatów</v>
      </c>
      <c r="H38">
        <v>1159</v>
      </c>
      <c r="I38">
        <v>1159</v>
      </c>
      <c r="J38">
        <v>0</v>
      </c>
      <c r="K38">
        <v>810</v>
      </c>
      <c r="L38">
        <v>541</v>
      </c>
      <c r="M38">
        <v>269</v>
      </c>
      <c r="N38">
        <v>269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269</v>
      </c>
      <c r="Z38">
        <v>0</v>
      </c>
      <c r="AA38">
        <v>0</v>
      </c>
      <c r="AB38">
        <v>269</v>
      </c>
      <c r="AC38">
        <v>13</v>
      </c>
      <c r="AD38">
        <v>256</v>
      </c>
      <c r="AE38">
        <v>8</v>
      </c>
      <c r="AF38">
        <v>5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2</v>
      </c>
      <c r="AN38">
        <v>0</v>
      </c>
      <c r="AO38">
        <v>0</v>
      </c>
      <c r="AP38">
        <v>8</v>
      </c>
      <c r="AQ38">
        <v>9</v>
      </c>
      <c r="AR38">
        <v>7</v>
      </c>
      <c r="AS38">
        <v>0</v>
      </c>
      <c r="AT38">
        <v>0</v>
      </c>
      <c r="AU38">
        <v>0</v>
      </c>
      <c r="AV38">
        <v>1</v>
      </c>
      <c r="AW38">
        <v>0</v>
      </c>
      <c r="AX38">
        <v>0</v>
      </c>
      <c r="AY38">
        <v>0</v>
      </c>
      <c r="AZ38">
        <v>0</v>
      </c>
      <c r="BA38">
        <v>1</v>
      </c>
      <c r="BB38">
        <v>9</v>
      </c>
      <c r="BC38">
        <v>15</v>
      </c>
      <c r="BD38">
        <v>3</v>
      </c>
      <c r="BE38">
        <v>0</v>
      </c>
      <c r="BF38">
        <v>0</v>
      </c>
      <c r="BG38">
        <v>0</v>
      </c>
      <c r="BH38">
        <v>0</v>
      </c>
      <c r="BI38">
        <v>1</v>
      </c>
      <c r="BJ38">
        <v>9</v>
      </c>
      <c r="BK38">
        <v>0</v>
      </c>
      <c r="BL38">
        <v>0</v>
      </c>
      <c r="BM38">
        <v>2</v>
      </c>
      <c r="BN38">
        <v>15</v>
      </c>
      <c r="BO38">
        <v>137</v>
      </c>
      <c r="BP38">
        <v>107</v>
      </c>
      <c r="BQ38">
        <v>8</v>
      </c>
      <c r="BR38">
        <v>5</v>
      </c>
      <c r="BS38">
        <v>8</v>
      </c>
      <c r="BT38">
        <v>0</v>
      </c>
      <c r="BU38">
        <v>2</v>
      </c>
      <c r="BV38">
        <v>2</v>
      </c>
      <c r="BW38">
        <v>0</v>
      </c>
      <c r="BX38">
        <v>0</v>
      </c>
      <c r="BY38">
        <v>5</v>
      </c>
      <c r="BZ38">
        <v>137</v>
      </c>
      <c r="CA38">
        <v>2</v>
      </c>
      <c r="CB38">
        <v>0</v>
      </c>
      <c r="CC38">
        <v>1</v>
      </c>
      <c r="CD38">
        <v>0</v>
      </c>
      <c r="CE38">
        <v>0</v>
      </c>
      <c r="CF38">
        <v>0</v>
      </c>
      <c r="CG38">
        <v>0</v>
      </c>
      <c r="CH38">
        <v>1</v>
      </c>
      <c r="CI38">
        <v>0</v>
      </c>
      <c r="CJ38">
        <v>0</v>
      </c>
      <c r="CK38">
        <v>0</v>
      </c>
      <c r="CL38">
        <v>2</v>
      </c>
      <c r="CM38">
        <v>9</v>
      </c>
      <c r="CN38">
        <v>5</v>
      </c>
      <c r="CO38">
        <v>2</v>
      </c>
      <c r="CP38">
        <v>0</v>
      </c>
      <c r="CQ38">
        <v>1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9</v>
      </c>
      <c r="CY38">
        <v>30</v>
      </c>
      <c r="CZ38">
        <v>21</v>
      </c>
      <c r="DA38">
        <v>2</v>
      </c>
      <c r="DB38">
        <v>1</v>
      </c>
      <c r="DC38">
        <v>0</v>
      </c>
      <c r="DD38">
        <v>2</v>
      </c>
      <c r="DE38">
        <v>0</v>
      </c>
      <c r="DF38">
        <v>0</v>
      </c>
      <c r="DG38">
        <v>2</v>
      </c>
      <c r="DH38">
        <v>0</v>
      </c>
      <c r="DI38">
        <v>2</v>
      </c>
      <c r="DJ38">
        <v>30</v>
      </c>
      <c r="DK38">
        <v>38</v>
      </c>
      <c r="DL38">
        <v>22</v>
      </c>
      <c r="DM38">
        <v>1</v>
      </c>
      <c r="DN38">
        <v>0</v>
      </c>
      <c r="DO38">
        <v>0</v>
      </c>
      <c r="DP38">
        <v>0</v>
      </c>
      <c r="DQ38">
        <v>0</v>
      </c>
      <c r="DR38">
        <v>13</v>
      </c>
      <c r="DS38">
        <v>2</v>
      </c>
      <c r="DT38">
        <v>0</v>
      </c>
      <c r="DU38">
        <v>0</v>
      </c>
      <c r="DV38">
        <v>38</v>
      </c>
      <c r="DW38">
        <v>4</v>
      </c>
      <c r="DX38">
        <v>0</v>
      </c>
      <c r="DY38">
        <v>0</v>
      </c>
      <c r="DZ38">
        <v>0</v>
      </c>
      <c r="EA38">
        <v>0</v>
      </c>
      <c r="EB38">
        <v>3</v>
      </c>
      <c r="EC38">
        <v>0</v>
      </c>
      <c r="ED38">
        <v>0</v>
      </c>
      <c r="EE38">
        <v>1</v>
      </c>
      <c r="EF38">
        <v>0</v>
      </c>
      <c r="EG38">
        <v>0</v>
      </c>
      <c r="EH38">
        <v>4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4</v>
      </c>
      <c r="FF38">
        <v>2</v>
      </c>
      <c r="FG38">
        <v>0</v>
      </c>
      <c r="FH38">
        <v>0</v>
      </c>
      <c r="FI38">
        <v>1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1</v>
      </c>
      <c r="FP38">
        <v>4</v>
      </c>
    </row>
    <row r="39" spans="1:172" ht="14.25">
      <c r="A39">
        <v>34</v>
      </c>
      <c r="B39" t="str">
        <f t="shared" si="4"/>
        <v>100102</v>
      </c>
      <c r="C39" t="str">
        <f t="shared" si="5"/>
        <v>Bełchatów</v>
      </c>
      <c r="D39" t="str">
        <f t="shared" si="6"/>
        <v>bełchatowski</v>
      </c>
      <c r="E39" t="str">
        <f t="shared" si="3"/>
        <v>łódzkie</v>
      </c>
      <c r="F39">
        <v>6</v>
      </c>
      <c r="G39" t="str">
        <f>"Szkoła Podstawowa, ul. Grabowa 80, Domiechowice, 97-400 Bełchatów"</f>
        <v>Szkoła Podstawowa, ul. Grabowa 80, Domiechowice, 97-400 Bełchatów</v>
      </c>
      <c r="H39">
        <v>1198</v>
      </c>
      <c r="I39">
        <v>1198</v>
      </c>
      <c r="J39">
        <v>0</v>
      </c>
      <c r="K39">
        <v>840</v>
      </c>
      <c r="L39">
        <v>605</v>
      </c>
      <c r="M39">
        <v>235</v>
      </c>
      <c r="N39">
        <v>235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235</v>
      </c>
      <c r="Z39">
        <v>0</v>
      </c>
      <c r="AA39">
        <v>0</v>
      </c>
      <c r="AB39">
        <v>235</v>
      </c>
      <c r="AC39">
        <v>9</v>
      </c>
      <c r="AD39">
        <v>226</v>
      </c>
      <c r="AE39">
        <v>5</v>
      </c>
      <c r="AF39">
        <v>3</v>
      </c>
      <c r="AG39">
        <v>0</v>
      </c>
      <c r="AH39">
        <v>1</v>
      </c>
      <c r="AI39">
        <v>0</v>
      </c>
      <c r="AJ39">
        <v>0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5</v>
      </c>
      <c r="AQ39">
        <v>3</v>
      </c>
      <c r="AR39">
        <v>3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3</v>
      </c>
      <c r="BC39">
        <v>14</v>
      </c>
      <c r="BD39">
        <v>6</v>
      </c>
      <c r="BE39">
        <v>1</v>
      </c>
      <c r="BF39">
        <v>0</v>
      </c>
      <c r="BG39">
        <v>1</v>
      </c>
      <c r="BH39">
        <v>0</v>
      </c>
      <c r="BI39">
        <v>0</v>
      </c>
      <c r="BJ39">
        <v>6</v>
      </c>
      <c r="BK39">
        <v>0</v>
      </c>
      <c r="BL39">
        <v>0</v>
      </c>
      <c r="BM39">
        <v>0</v>
      </c>
      <c r="BN39">
        <v>14</v>
      </c>
      <c r="BO39">
        <v>128</v>
      </c>
      <c r="BP39">
        <v>103</v>
      </c>
      <c r="BQ39">
        <v>6</v>
      </c>
      <c r="BR39">
        <v>3</v>
      </c>
      <c r="BS39">
        <v>3</v>
      </c>
      <c r="BT39">
        <v>0</v>
      </c>
      <c r="BU39">
        <v>4</v>
      </c>
      <c r="BV39">
        <v>0</v>
      </c>
      <c r="BW39">
        <v>5</v>
      </c>
      <c r="BX39">
        <v>0</v>
      </c>
      <c r="BY39">
        <v>4</v>
      </c>
      <c r="BZ39">
        <v>128</v>
      </c>
      <c r="CA39">
        <v>2</v>
      </c>
      <c r="CB39">
        <v>2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2</v>
      </c>
      <c r="CM39">
        <v>6</v>
      </c>
      <c r="CN39">
        <v>6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6</v>
      </c>
      <c r="CY39">
        <v>12</v>
      </c>
      <c r="CZ39">
        <v>5</v>
      </c>
      <c r="DA39">
        <v>3</v>
      </c>
      <c r="DB39">
        <v>0</v>
      </c>
      <c r="DC39">
        <v>0</v>
      </c>
      <c r="DD39">
        <v>1</v>
      </c>
      <c r="DE39">
        <v>0</v>
      </c>
      <c r="DF39">
        <v>0</v>
      </c>
      <c r="DG39">
        <v>1</v>
      </c>
      <c r="DH39">
        <v>2</v>
      </c>
      <c r="DI39">
        <v>0</v>
      </c>
      <c r="DJ39">
        <v>12</v>
      </c>
      <c r="DK39">
        <v>46</v>
      </c>
      <c r="DL39">
        <v>19</v>
      </c>
      <c r="DM39">
        <v>7</v>
      </c>
      <c r="DN39">
        <v>0</v>
      </c>
      <c r="DO39">
        <v>0</v>
      </c>
      <c r="DP39">
        <v>0</v>
      </c>
      <c r="DQ39">
        <v>0</v>
      </c>
      <c r="DR39">
        <v>19</v>
      </c>
      <c r="DS39">
        <v>1</v>
      </c>
      <c r="DT39">
        <v>0</v>
      </c>
      <c r="DU39">
        <v>0</v>
      </c>
      <c r="DV39">
        <v>46</v>
      </c>
      <c r="DW39">
        <v>8</v>
      </c>
      <c r="DX39">
        <v>2</v>
      </c>
      <c r="DY39">
        <v>2</v>
      </c>
      <c r="DZ39">
        <v>0</v>
      </c>
      <c r="EA39">
        <v>0</v>
      </c>
      <c r="EB39">
        <v>2</v>
      </c>
      <c r="EC39">
        <v>1</v>
      </c>
      <c r="ED39">
        <v>1</v>
      </c>
      <c r="EE39">
        <v>0</v>
      </c>
      <c r="EF39">
        <v>0</v>
      </c>
      <c r="EG39">
        <v>0</v>
      </c>
      <c r="EH39">
        <v>8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2</v>
      </c>
      <c r="FF39">
        <v>0</v>
      </c>
      <c r="FG39">
        <v>1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1</v>
      </c>
      <c r="FP39">
        <v>2</v>
      </c>
    </row>
    <row r="40" spans="1:172" ht="14.25">
      <c r="A40">
        <v>35</v>
      </c>
      <c r="B40" t="str">
        <f t="shared" si="4"/>
        <v>100102</v>
      </c>
      <c r="C40" t="str">
        <f t="shared" si="5"/>
        <v>Bełchatów</v>
      </c>
      <c r="D40" t="str">
        <f t="shared" si="6"/>
        <v>bełchatowski</v>
      </c>
      <c r="E40" t="str">
        <f t="shared" si="3"/>
        <v>łódzkie</v>
      </c>
      <c r="F40">
        <v>7</v>
      </c>
      <c r="G40" t="str">
        <f>"Strażnica OSP, Podwody 30, 97-400 Bełchatów"</f>
        <v>Strażnica OSP, Podwody 30, 97-400 Bełchatów</v>
      </c>
      <c r="H40">
        <v>381</v>
      </c>
      <c r="I40">
        <v>381</v>
      </c>
      <c r="J40">
        <v>0</v>
      </c>
      <c r="K40">
        <v>270</v>
      </c>
      <c r="L40">
        <v>216</v>
      </c>
      <c r="M40">
        <v>54</v>
      </c>
      <c r="N40">
        <v>54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54</v>
      </c>
      <c r="Z40">
        <v>0</v>
      </c>
      <c r="AA40">
        <v>0</v>
      </c>
      <c r="AB40">
        <v>54</v>
      </c>
      <c r="AC40">
        <v>3</v>
      </c>
      <c r="AD40">
        <v>51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2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4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3</v>
      </c>
      <c r="BK40">
        <v>0</v>
      </c>
      <c r="BL40">
        <v>0</v>
      </c>
      <c r="BM40">
        <v>1</v>
      </c>
      <c r="BN40">
        <v>4</v>
      </c>
      <c r="BO40">
        <v>35</v>
      </c>
      <c r="BP40">
        <v>28</v>
      </c>
      <c r="BQ40">
        <v>1</v>
      </c>
      <c r="BR40">
        <v>0</v>
      </c>
      <c r="BS40">
        <v>4</v>
      </c>
      <c r="BT40">
        <v>0</v>
      </c>
      <c r="BU40">
        <v>0</v>
      </c>
      <c r="BV40">
        <v>1</v>
      </c>
      <c r="BW40">
        <v>0</v>
      </c>
      <c r="BX40">
        <v>0</v>
      </c>
      <c r="BY40">
        <v>1</v>
      </c>
      <c r="BZ40">
        <v>35</v>
      </c>
      <c r="CA40">
        <v>1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1</v>
      </c>
      <c r="CL40">
        <v>1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3</v>
      </c>
      <c r="CZ40">
        <v>0</v>
      </c>
      <c r="DA40">
        <v>0</v>
      </c>
      <c r="DB40">
        <v>0</v>
      </c>
      <c r="DC40">
        <v>1</v>
      </c>
      <c r="DD40">
        <v>0</v>
      </c>
      <c r="DE40">
        <v>0</v>
      </c>
      <c r="DF40">
        <v>0</v>
      </c>
      <c r="DG40">
        <v>1</v>
      </c>
      <c r="DH40">
        <v>0</v>
      </c>
      <c r="DI40">
        <v>1</v>
      </c>
      <c r="DJ40">
        <v>3</v>
      </c>
      <c r="DK40">
        <v>4</v>
      </c>
      <c r="DL40">
        <v>1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0</v>
      </c>
      <c r="DT40">
        <v>0</v>
      </c>
      <c r="DU40">
        <v>0</v>
      </c>
      <c r="DV40">
        <v>4</v>
      </c>
      <c r="DW40">
        <v>1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1</v>
      </c>
      <c r="EI40">
        <v>1</v>
      </c>
      <c r="EJ40">
        <v>0</v>
      </c>
      <c r="EK40">
        <v>1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1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</row>
    <row r="41" spans="1:172" ht="14.25">
      <c r="A41">
        <v>36</v>
      </c>
      <c r="B41" t="str">
        <f t="shared" si="4"/>
        <v>100102</v>
      </c>
      <c r="C41" t="str">
        <f t="shared" si="5"/>
        <v>Bełchatów</v>
      </c>
      <c r="D41" t="str">
        <f t="shared" si="6"/>
        <v>bełchatowski</v>
      </c>
      <c r="E41" t="str">
        <f t="shared" si="3"/>
        <v>łódzkie</v>
      </c>
      <c r="F41">
        <v>8</v>
      </c>
      <c r="G41" t="str">
        <f>"Gminne Centrum Kultury Filia, Kurnos Drugi 16, 97-400 Bełchatów"</f>
        <v>Gminne Centrum Kultury Filia, Kurnos Drugi 16, 97-400 Bełchatów</v>
      </c>
      <c r="H41">
        <v>637</v>
      </c>
      <c r="I41">
        <v>637</v>
      </c>
      <c r="J41">
        <v>0</v>
      </c>
      <c r="K41">
        <v>450</v>
      </c>
      <c r="L41">
        <v>278</v>
      </c>
      <c r="M41">
        <v>172</v>
      </c>
      <c r="N41">
        <v>172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172</v>
      </c>
      <c r="Z41">
        <v>0</v>
      </c>
      <c r="AA41">
        <v>0</v>
      </c>
      <c r="AB41">
        <v>172</v>
      </c>
      <c r="AC41">
        <v>2</v>
      </c>
      <c r="AD41">
        <v>170</v>
      </c>
      <c r="AE41">
        <v>3</v>
      </c>
      <c r="AF41">
        <v>2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3</v>
      </c>
      <c r="AQ41">
        <v>6</v>
      </c>
      <c r="AR41">
        <v>3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1</v>
      </c>
      <c r="BA41">
        <v>1</v>
      </c>
      <c r="BB41">
        <v>6</v>
      </c>
      <c r="BC41">
        <v>7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4</v>
      </c>
      <c r="BK41">
        <v>0</v>
      </c>
      <c r="BL41">
        <v>0</v>
      </c>
      <c r="BM41">
        <v>2</v>
      </c>
      <c r="BN41">
        <v>7</v>
      </c>
      <c r="BO41">
        <v>91</v>
      </c>
      <c r="BP41">
        <v>76</v>
      </c>
      <c r="BQ41">
        <v>3</v>
      </c>
      <c r="BR41">
        <v>4</v>
      </c>
      <c r="BS41">
        <v>4</v>
      </c>
      <c r="BT41">
        <v>0</v>
      </c>
      <c r="BU41">
        <v>2</v>
      </c>
      <c r="BV41">
        <v>1</v>
      </c>
      <c r="BW41">
        <v>0</v>
      </c>
      <c r="BX41">
        <v>0</v>
      </c>
      <c r="BY41">
        <v>1</v>
      </c>
      <c r="BZ41">
        <v>91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1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15</v>
      </c>
      <c r="CZ41">
        <v>8</v>
      </c>
      <c r="DA41">
        <v>0</v>
      </c>
      <c r="DB41">
        <v>0</v>
      </c>
      <c r="DC41">
        <v>0</v>
      </c>
      <c r="DD41">
        <v>2</v>
      </c>
      <c r="DE41">
        <v>1</v>
      </c>
      <c r="DF41">
        <v>0</v>
      </c>
      <c r="DG41">
        <v>2</v>
      </c>
      <c r="DH41">
        <v>2</v>
      </c>
      <c r="DI41">
        <v>0</v>
      </c>
      <c r="DJ41">
        <v>15</v>
      </c>
      <c r="DK41">
        <v>42</v>
      </c>
      <c r="DL41">
        <v>20</v>
      </c>
      <c r="DM41">
        <v>2</v>
      </c>
      <c r="DN41">
        <v>0</v>
      </c>
      <c r="DO41">
        <v>1</v>
      </c>
      <c r="DP41">
        <v>0</v>
      </c>
      <c r="DQ41">
        <v>0</v>
      </c>
      <c r="DR41">
        <v>18</v>
      </c>
      <c r="DS41">
        <v>0</v>
      </c>
      <c r="DT41">
        <v>0</v>
      </c>
      <c r="DU41">
        <v>1</v>
      </c>
      <c r="DV41">
        <v>42</v>
      </c>
      <c r="DW41">
        <v>3</v>
      </c>
      <c r="DX41">
        <v>1</v>
      </c>
      <c r="DY41">
        <v>1</v>
      </c>
      <c r="DZ41">
        <v>0</v>
      </c>
      <c r="EA41">
        <v>0</v>
      </c>
      <c r="EB41">
        <v>1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3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2</v>
      </c>
      <c r="FF41">
        <v>0</v>
      </c>
      <c r="FG41">
        <v>0</v>
      </c>
      <c r="FH41">
        <v>1</v>
      </c>
      <c r="FI41">
        <v>0</v>
      </c>
      <c r="FJ41">
        <v>0</v>
      </c>
      <c r="FK41">
        <v>0</v>
      </c>
      <c r="FL41">
        <v>0</v>
      </c>
      <c r="FM41">
        <v>1</v>
      </c>
      <c r="FN41">
        <v>0</v>
      </c>
      <c r="FO41">
        <v>0</v>
      </c>
      <c r="FP41">
        <v>2</v>
      </c>
    </row>
    <row r="42" spans="1:172" ht="14.25">
      <c r="A42">
        <v>37</v>
      </c>
      <c r="B42" t="str">
        <f t="shared" si="4"/>
        <v>100102</v>
      </c>
      <c r="C42" t="str">
        <f t="shared" si="5"/>
        <v>Bełchatów</v>
      </c>
      <c r="D42" t="str">
        <f t="shared" si="6"/>
        <v>bełchatowski</v>
      </c>
      <c r="E42" t="str">
        <f t="shared" si="3"/>
        <v>łódzkie</v>
      </c>
      <c r="F42">
        <v>9</v>
      </c>
      <c r="G42" t="str">
        <f>"Szkoła Podstawowa, ul. Górna 7, Dobrzelów, 97-400 Bełchatów"</f>
        <v>Szkoła Podstawowa, ul. Górna 7, Dobrzelów, 97-400 Bełchatów</v>
      </c>
      <c r="H42">
        <v>754</v>
      </c>
      <c r="I42">
        <v>754</v>
      </c>
      <c r="J42">
        <v>0</v>
      </c>
      <c r="K42">
        <v>530</v>
      </c>
      <c r="L42">
        <v>330</v>
      </c>
      <c r="M42">
        <v>200</v>
      </c>
      <c r="N42">
        <v>200</v>
      </c>
      <c r="O42">
        <v>0</v>
      </c>
      <c r="P42">
        <v>0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200</v>
      </c>
      <c r="Z42">
        <v>0</v>
      </c>
      <c r="AA42">
        <v>0</v>
      </c>
      <c r="AB42">
        <v>200</v>
      </c>
      <c r="AC42">
        <v>6</v>
      </c>
      <c r="AD42">
        <v>194</v>
      </c>
      <c r="AE42">
        <v>5</v>
      </c>
      <c r="AF42">
        <v>1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3</v>
      </c>
      <c r="AM42">
        <v>0</v>
      </c>
      <c r="AN42">
        <v>0</v>
      </c>
      <c r="AO42">
        <v>0</v>
      </c>
      <c r="AP42">
        <v>5</v>
      </c>
      <c r="AQ42">
        <v>3</v>
      </c>
      <c r="AR42">
        <v>2</v>
      </c>
      <c r="AS42">
        <v>0</v>
      </c>
      <c r="AT42">
        <v>0</v>
      </c>
      <c r="AU42">
        <v>0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3</v>
      </c>
      <c r="BC42">
        <v>14</v>
      </c>
      <c r="BD42">
        <v>2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10</v>
      </c>
      <c r="BK42">
        <v>0</v>
      </c>
      <c r="BL42">
        <v>0</v>
      </c>
      <c r="BM42">
        <v>1</v>
      </c>
      <c r="BN42">
        <v>14</v>
      </c>
      <c r="BO42">
        <v>85</v>
      </c>
      <c r="BP42">
        <v>72</v>
      </c>
      <c r="BQ42">
        <v>3</v>
      </c>
      <c r="BR42">
        <v>2</v>
      </c>
      <c r="BS42">
        <v>2</v>
      </c>
      <c r="BT42">
        <v>0</v>
      </c>
      <c r="BU42">
        <v>2</v>
      </c>
      <c r="BV42">
        <v>0</v>
      </c>
      <c r="BW42">
        <v>2</v>
      </c>
      <c r="BX42">
        <v>0</v>
      </c>
      <c r="BY42">
        <v>2</v>
      </c>
      <c r="BZ42">
        <v>85</v>
      </c>
      <c r="CA42">
        <v>5</v>
      </c>
      <c r="CB42">
        <v>5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</v>
      </c>
      <c r="CM42">
        <v>2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2</v>
      </c>
      <c r="CY42">
        <v>26</v>
      </c>
      <c r="CZ42">
        <v>20</v>
      </c>
      <c r="DA42">
        <v>1</v>
      </c>
      <c r="DB42">
        <v>0</v>
      </c>
      <c r="DC42">
        <v>0</v>
      </c>
      <c r="DD42">
        <v>0</v>
      </c>
      <c r="DE42">
        <v>0</v>
      </c>
      <c r="DF42">
        <v>1</v>
      </c>
      <c r="DG42">
        <v>1</v>
      </c>
      <c r="DH42">
        <v>0</v>
      </c>
      <c r="DI42">
        <v>3</v>
      </c>
      <c r="DJ42">
        <v>26</v>
      </c>
      <c r="DK42">
        <v>46</v>
      </c>
      <c r="DL42">
        <v>16</v>
      </c>
      <c r="DM42">
        <v>1</v>
      </c>
      <c r="DN42">
        <v>0</v>
      </c>
      <c r="DO42">
        <v>0</v>
      </c>
      <c r="DP42">
        <v>0</v>
      </c>
      <c r="DQ42">
        <v>0</v>
      </c>
      <c r="DR42">
        <v>29</v>
      </c>
      <c r="DS42">
        <v>0</v>
      </c>
      <c r="DT42">
        <v>0</v>
      </c>
      <c r="DU42">
        <v>0</v>
      </c>
      <c r="DV42">
        <v>46</v>
      </c>
      <c r="DW42">
        <v>8</v>
      </c>
      <c r="DX42">
        <v>1</v>
      </c>
      <c r="DY42">
        <v>3</v>
      </c>
      <c r="DZ42">
        <v>0</v>
      </c>
      <c r="EA42">
        <v>1</v>
      </c>
      <c r="EB42">
        <v>1</v>
      </c>
      <c r="EC42">
        <v>1</v>
      </c>
      <c r="ED42">
        <v>0</v>
      </c>
      <c r="EE42">
        <v>0</v>
      </c>
      <c r="EF42">
        <v>0</v>
      </c>
      <c r="EG42">
        <v>1</v>
      </c>
      <c r="EH42">
        <v>8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</row>
    <row r="43" spans="1:172" ht="14.25">
      <c r="A43">
        <v>38</v>
      </c>
      <c r="B43" t="str">
        <f aca="true" t="shared" si="7" ref="B43:B48">"100103"</f>
        <v>100103</v>
      </c>
      <c r="C43" t="str">
        <f aca="true" t="shared" si="8" ref="C43:C48">"Drużbice"</f>
        <v>Drużbice</v>
      </c>
      <c r="D43" t="str">
        <f t="shared" si="6"/>
        <v>bełchatowski</v>
      </c>
      <c r="E43" t="str">
        <f t="shared" si="3"/>
        <v>łódzkie</v>
      </c>
      <c r="F43">
        <v>1</v>
      </c>
      <c r="G43" t="str">
        <f>"Szkoła Podstawowa w Wadlewie, Wadlew 59, 97-403 Drużbice"</f>
        <v>Szkoła Podstawowa w Wadlewie, Wadlew 59, 97-403 Drużbice</v>
      </c>
      <c r="H43">
        <v>609</v>
      </c>
      <c r="I43">
        <v>609</v>
      </c>
      <c r="J43">
        <v>0</v>
      </c>
      <c r="K43">
        <v>430</v>
      </c>
      <c r="L43">
        <v>310</v>
      </c>
      <c r="M43">
        <v>120</v>
      </c>
      <c r="N43">
        <v>120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120</v>
      </c>
      <c r="Z43">
        <v>0</v>
      </c>
      <c r="AA43">
        <v>0</v>
      </c>
      <c r="AB43">
        <v>120</v>
      </c>
      <c r="AC43">
        <v>1</v>
      </c>
      <c r="AD43">
        <v>119</v>
      </c>
      <c r="AE43">
        <v>3</v>
      </c>
      <c r="AF43">
        <v>2</v>
      </c>
      <c r="AG43">
        <v>0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0</v>
      </c>
      <c r="AP43">
        <v>3</v>
      </c>
      <c r="AQ43">
        <v>4</v>
      </c>
      <c r="AR43">
        <v>0</v>
      </c>
      <c r="AS43">
        <v>1</v>
      </c>
      <c r="AT43">
        <v>0</v>
      </c>
      <c r="AU43">
        <v>1</v>
      </c>
      <c r="AV43">
        <v>0</v>
      </c>
      <c r="AW43">
        <v>0</v>
      </c>
      <c r="AX43">
        <v>1</v>
      </c>
      <c r="AY43">
        <v>0</v>
      </c>
      <c r="AZ43">
        <v>1</v>
      </c>
      <c r="BA43">
        <v>0</v>
      </c>
      <c r="BB43">
        <v>4</v>
      </c>
      <c r="BC43">
        <v>15</v>
      </c>
      <c r="BD43">
        <v>0</v>
      </c>
      <c r="BE43">
        <v>4</v>
      </c>
      <c r="BF43">
        <v>0</v>
      </c>
      <c r="BG43">
        <v>0</v>
      </c>
      <c r="BH43">
        <v>3</v>
      </c>
      <c r="BI43">
        <v>3</v>
      </c>
      <c r="BJ43">
        <v>4</v>
      </c>
      <c r="BK43">
        <v>0</v>
      </c>
      <c r="BL43">
        <v>0</v>
      </c>
      <c r="BM43">
        <v>1</v>
      </c>
      <c r="BN43">
        <v>15</v>
      </c>
      <c r="BO43">
        <v>67</v>
      </c>
      <c r="BP43">
        <v>58</v>
      </c>
      <c r="BQ43">
        <v>3</v>
      </c>
      <c r="BR43">
        <v>1</v>
      </c>
      <c r="BS43">
        <v>0</v>
      </c>
      <c r="BT43">
        <v>1</v>
      </c>
      <c r="BU43">
        <v>1</v>
      </c>
      <c r="BV43">
        <v>0</v>
      </c>
      <c r="BW43">
        <v>0</v>
      </c>
      <c r="BX43">
        <v>1</v>
      </c>
      <c r="BY43">
        <v>2</v>
      </c>
      <c r="BZ43">
        <v>67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1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4</v>
      </c>
      <c r="CZ43">
        <v>2</v>
      </c>
      <c r="DA43">
        <v>0</v>
      </c>
      <c r="DB43">
        <v>1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1</v>
      </c>
      <c r="DI43">
        <v>0</v>
      </c>
      <c r="DJ43">
        <v>4</v>
      </c>
      <c r="DK43">
        <v>17</v>
      </c>
      <c r="DL43">
        <v>7</v>
      </c>
      <c r="DM43">
        <v>2</v>
      </c>
      <c r="DN43">
        <v>1</v>
      </c>
      <c r="DO43">
        <v>0</v>
      </c>
      <c r="DP43">
        <v>0</v>
      </c>
      <c r="DQ43">
        <v>0</v>
      </c>
      <c r="DR43">
        <v>5</v>
      </c>
      <c r="DS43">
        <v>0</v>
      </c>
      <c r="DT43">
        <v>0</v>
      </c>
      <c r="DU43">
        <v>2</v>
      </c>
      <c r="DV43">
        <v>17</v>
      </c>
      <c r="DW43">
        <v>8</v>
      </c>
      <c r="DX43">
        <v>1</v>
      </c>
      <c r="DY43">
        <v>0</v>
      </c>
      <c r="DZ43">
        <v>0</v>
      </c>
      <c r="EA43">
        <v>0</v>
      </c>
      <c r="EB43">
        <v>4</v>
      </c>
      <c r="EC43">
        <v>3</v>
      </c>
      <c r="ED43">
        <v>0</v>
      </c>
      <c r="EE43">
        <v>0</v>
      </c>
      <c r="EF43">
        <v>0</v>
      </c>
      <c r="EG43">
        <v>0</v>
      </c>
      <c r="EH43">
        <v>8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</row>
    <row r="44" spans="1:172" ht="14.25">
      <c r="A44">
        <v>39</v>
      </c>
      <c r="B44" t="str">
        <f t="shared" si="7"/>
        <v>100103</v>
      </c>
      <c r="C44" t="str">
        <f t="shared" si="8"/>
        <v>Drużbice</v>
      </c>
      <c r="D44" t="str">
        <f t="shared" si="6"/>
        <v>bełchatowski</v>
      </c>
      <c r="E44" t="str">
        <f t="shared" si="3"/>
        <v>łódzkie</v>
      </c>
      <c r="F44">
        <v>2</v>
      </c>
      <c r="G44" t="str">
        <f>"Szkoła Podstawowa w Wadlewie, Wadlew 59, 97-403 Drużbice"</f>
        <v>Szkoła Podstawowa w Wadlewie, Wadlew 59, 97-403 Drużbice</v>
      </c>
      <c r="H44">
        <v>540</v>
      </c>
      <c r="I44">
        <v>540</v>
      </c>
      <c r="J44">
        <v>0</v>
      </c>
      <c r="K44">
        <v>380</v>
      </c>
      <c r="L44">
        <v>320</v>
      </c>
      <c r="M44">
        <v>60</v>
      </c>
      <c r="N44">
        <v>60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60</v>
      </c>
      <c r="Z44">
        <v>0</v>
      </c>
      <c r="AA44">
        <v>0</v>
      </c>
      <c r="AB44">
        <v>60</v>
      </c>
      <c r="AC44">
        <v>4</v>
      </c>
      <c r="AD44">
        <v>56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37</v>
      </c>
      <c r="BP44">
        <v>23</v>
      </c>
      <c r="BQ44">
        <v>2</v>
      </c>
      <c r="BR44">
        <v>7</v>
      </c>
      <c r="BS44">
        <v>2</v>
      </c>
      <c r="BT44">
        <v>0</v>
      </c>
      <c r="BU44">
        <v>0</v>
      </c>
      <c r="BV44">
        <v>0</v>
      </c>
      <c r="BW44">
        <v>1</v>
      </c>
      <c r="BX44">
        <v>1</v>
      </c>
      <c r="BY44">
        <v>1</v>
      </c>
      <c r="BZ44">
        <v>37</v>
      </c>
      <c r="CA44">
        <v>1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1</v>
      </c>
      <c r="CK44">
        <v>0</v>
      </c>
      <c r="CL44">
        <v>1</v>
      </c>
      <c r="CM44">
        <v>3</v>
      </c>
      <c r="CN44">
        <v>2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1</v>
      </c>
      <c r="CV44">
        <v>0</v>
      </c>
      <c r="CW44">
        <v>0</v>
      </c>
      <c r="CX44">
        <v>3</v>
      </c>
      <c r="CY44">
        <v>4</v>
      </c>
      <c r="CZ44">
        <v>3</v>
      </c>
      <c r="DA44">
        <v>0</v>
      </c>
      <c r="DB44">
        <v>0</v>
      </c>
      <c r="DC44">
        <v>0</v>
      </c>
      <c r="DD44">
        <v>0</v>
      </c>
      <c r="DE44">
        <v>1</v>
      </c>
      <c r="DF44">
        <v>0</v>
      </c>
      <c r="DG44">
        <v>0</v>
      </c>
      <c r="DH44">
        <v>0</v>
      </c>
      <c r="DI44">
        <v>0</v>
      </c>
      <c r="DJ44">
        <v>4</v>
      </c>
      <c r="DK44">
        <v>8</v>
      </c>
      <c r="DL44">
        <v>6</v>
      </c>
      <c r="DM44">
        <v>1</v>
      </c>
      <c r="DN44">
        <v>0</v>
      </c>
      <c r="DO44">
        <v>0</v>
      </c>
      <c r="DP44">
        <v>0</v>
      </c>
      <c r="DQ44">
        <v>0</v>
      </c>
      <c r="DR44">
        <v>1</v>
      </c>
      <c r="DS44">
        <v>0</v>
      </c>
      <c r="DT44">
        <v>0</v>
      </c>
      <c r="DU44">
        <v>0</v>
      </c>
      <c r="DV44">
        <v>8</v>
      </c>
      <c r="DW44">
        <v>2</v>
      </c>
      <c r="DX44">
        <v>0</v>
      </c>
      <c r="DY44">
        <v>2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2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1</v>
      </c>
      <c r="FF44">
        <v>0</v>
      </c>
      <c r="FG44">
        <v>0</v>
      </c>
      <c r="FH44">
        <v>0</v>
      </c>
      <c r="FI44">
        <v>1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1</v>
      </c>
    </row>
    <row r="45" spans="1:172" ht="14.25">
      <c r="A45">
        <v>40</v>
      </c>
      <c r="B45" t="str">
        <f t="shared" si="7"/>
        <v>100103</v>
      </c>
      <c r="C45" t="str">
        <f t="shared" si="8"/>
        <v>Drużbice</v>
      </c>
      <c r="D45" t="str">
        <f t="shared" si="6"/>
        <v>bełchatowski</v>
      </c>
      <c r="E45" t="str">
        <f t="shared" si="3"/>
        <v>łódzkie</v>
      </c>
      <c r="F45">
        <v>3</v>
      </c>
      <c r="G45" t="str">
        <f>"Zespół Szkolno-Przedszkolny w Drużbicach, Drużbice 15, 97-403 Drużbice"</f>
        <v>Zespół Szkolno-Przedszkolny w Drużbicach, Drużbice 15, 97-403 Drużbice</v>
      </c>
      <c r="H45">
        <v>669</v>
      </c>
      <c r="I45">
        <v>669</v>
      </c>
      <c r="J45">
        <v>0</v>
      </c>
      <c r="K45">
        <v>470</v>
      </c>
      <c r="L45">
        <v>312</v>
      </c>
      <c r="M45">
        <v>158</v>
      </c>
      <c r="N45">
        <v>158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158</v>
      </c>
      <c r="Z45">
        <v>0</v>
      </c>
      <c r="AA45">
        <v>0</v>
      </c>
      <c r="AB45">
        <v>158</v>
      </c>
      <c r="AC45">
        <v>0</v>
      </c>
      <c r="AD45">
        <v>158</v>
      </c>
      <c r="AE45">
        <v>6</v>
      </c>
      <c r="AF45">
        <v>3</v>
      </c>
      <c r="AG45">
        <v>1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0</v>
      </c>
      <c r="AP45">
        <v>6</v>
      </c>
      <c r="AQ45">
        <v>4</v>
      </c>
      <c r="AR45">
        <v>0</v>
      </c>
      <c r="AS45">
        <v>1</v>
      </c>
      <c r="AT45">
        <v>0</v>
      </c>
      <c r="AU45">
        <v>0</v>
      </c>
      <c r="AV45">
        <v>1</v>
      </c>
      <c r="AW45">
        <v>0</v>
      </c>
      <c r="AX45">
        <v>0</v>
      </c>
      <c r="AY45">
        <v>2</v>
      </c>
      <c r="AZ45">
        <v>0</v>
      </c>
      <c r="BA45">
        <v>0</v>
      </c>
      <c r="BB45">
        <v>4</v>
      </c>
      <c r="BC45">
        <v>16</v>
      </c>
      <c r="BD45">
        <v>3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8</v>
      </c>
      <c r="BK45">
        <v>0</v>
      </c>
      <c r="BL45">
        <v>0</v>
      </c>
      <c r="BM45">
        <v>0</v>
      </c>
      <c r="BN45">
        <v>16</v>
      </c>
      <c r="BO45">
        <v>54</v>
      </c>
      <c r="BP45">
        <v>45</v>
      </c>
      <c r="BQ45">
        <v>2</v>
      </c>
      <c r="BR45">
        <v>3</v>
      </c>
      <c r="BS45">
        <v>1</v>
      </c>
      <c r="BT45">
        <v>0</v>
      </c>
      <c r="BU45">
        <v>0</v>
      </c>
      <c r="BV45">
        <v>0</v>
      </c>
      <c r="BW45">
        <v>0</v>
      </c>
      <c r="BX45">
        <v>1</v>
      </c>
      <c r="BY45">
        <v>2</v>
      </c>
      <c r="BZ45">
        <v>54</v>
      </c>
      <c r="CA45">
        <v>8</v>
      </c>
      <c r="CB45">
        <v>6</v>
      </c>
      <c r="CC45">
        <v>1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1</v>
      </c>
      <c r="CL45">
        <v>8</v>
      </c>
      <c r="CM45">
        <v>2</v>
      </c>
      <c r="CN45">
        <v>2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2</v>
      </c>
      <c r="CY45">
        <v>15</v>
      </c>
      <c r="CZ45">
        <v>11</v>
      </c>
      <c r="DA45">
        <v>3</v>
      </c>
      <c r="DB45">
        <v>0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15</v>
      </c>
      <c r="DK45">
        <v>37</v>
      </c>
      <c r="DL45">
        <v>13</v>
      </c>
      <c r="DM45">
        <v>6</v>
      </c>
      <c r="DN45">
        <v>0</v>
      </c>
      <c r="DO45">
        <v>0</v>
      </c>
      <c r="DP45">
        <v>0</v>
      </c>
      <c r="DQ45">
        <v>1</v>
      </c>
      <c r="DR45">
        <v>16</v>
      </c>
      <c r="DS45">
        <v>0</v>
      </c>
      <c r="DT45">
        <v>1</v>
      </c>
      <c r="DU45">
        <v>0</v>
      </c>
      <c r="DV45">
        <v>37</v>
      </c>
      <c r="DW45">
        <v>13</v>
      </c>
      <c r="DX45">
        <v>3</v>
      </c>
      <c r="DY45">
        <v>6</v>
      </c>
      <c r="DZ45">
        <v>0</v>
      </c>
      <c r="EA45">
        <v>0</v>
      </c>
      <c r="EB45">
        <v>4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13</v>
      </c>
      <c r="EI45">
        <v>1</v>
      </c>
      <c r="EJ45">
        <v>0</v>
      </c>
      <c r="EK45">
        <v>1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1</v>
      </c>
      <c r="ES45">
        <v>2</v>
      </c>
      <c r="ET45">
        <v>2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2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</row>
    <row r="46" spans="1:172" ht="14.25">
      <c r="A46">
        <v>41</v>
      </c>
      <c r="B46" t="str">
        <f t="shared" si="7"/>
        <v>100103</v>
      </c>
      <c r="C46" t="str">
        <f t="shared" si="8"/>
        <v>Drużbice</v>
      </c>
      <c r="D46" t="str">
        <f t="shared" si="6"/>
        <v>bełchatowski</v>
      </c>
      <c r="E46" t="str">
        <f t="shared" si="3"/>
        <v>łódzkie</v>
      </c>
      <c r="F46">
        <v>4</v>
      </c>
      <c r="G46" t="str">
        <f>"Zespół Szkolno-Przedszkolny w Drużbicach, Drużbice 15, 97-403 Drużbice"</f>
        <v>Zespół Szkolno-Przedszkolny w Drużbicach, Drużbice 15, 97-403 Drużbice</v>
      </c>
      <c r="H46">
        <v>776</v>
      </c>
      <c r="I46">
        <v>776</v>
      </c>
      <c r="J46">
        <v>0</v>
      </c>
      <c r="K46">
        <v>550</v>
      </c>
      <c r="L46">
        <v>432</v>
      </c>
      <c r="M46">
        <v>118</v>
      </c>
      <c r="N46">
        <v>118</v>
      </c>
      <c r="O46">
        <v>0</v>
      </c>
      <c r="P46">
        <v>0</v>
      </c>
      <c r="Q46">
        <v>2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118</v>
      </c>
      <c r="Z46">
        <v>0</v>
      </c>
      <c r="AA46">
        <v>0</v>
      </c>
      <c r="AB46">
        <v>118</v>
      </c>
      <c r="AC46">
        <v>5</v>
      </c>
      <c r="AD46">
        <v>113</v>
      </c>
      <c r="AE46">
        <v>5</v>
      </c>
      <c r="AF46">
        <v>0</v>
      </c>
      <c r="AG46">
        <v>2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2</v>
      </c>
      <c r="AP46">
        <v>5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7</v>
      </c>
      <c r="BD46">
        <v>2</v>
      </c>
      <c r="BE46">
        <v>0</v>
      </c>
      <c r="BF46">
        <v>0</v>
      </c>
      <c r="BG46">
        <v>0</v>
      </c>
      <c r="BH46">
        <v>0</v>
      </c>
      <c r="BI46">
        <v>2</v>
      </c>
      <c r="BJ46">
        <v>0</v>
      </c>
      <c r="BK46">
        <v>0</v>
      </c>
      <c r="BL46">
        <v>0</v>
      </c>
      <c r="BM46">
        <v>3</v>
      </c>
      <c r="BN46">
        <v>7</v>
      </c>
      <c r="BO46">
        <v>59</v>
      </c>
      <c r="BP46">
        <v>49</v>
      </c>
      <c r="BQ46">
        <v>4</v>
      </c>
      <c r="BR46">
        <v>2</v>
      </c>
      <c r="BS46">
        <v>1</v>
      </c>
      <c r="BT46">
        <v>0</v>
      </c>
      <c r="BU46">
        <v>0</v>
      </c>
      <c r="BV46">
        <v>1</v>
      </c>
      <c r="BW46">
        <v>0</v>
      </c>
      <c r="BX46">
        <v>2</v>
      </c>
      <c r="BY46">
        <v>0</v>
      </c>
      <c r="BZ46">
        <v>59</v>
      </c>
      <c r="CA46">
        <v>4</v>
      </c>
      <c r="CB46">
        <v>3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1</v>
      </c>
      <c r="CI46">
        <v>0</v>
      </c>
      <c r="CJ46">
        <v>0</v>
      </c>
      <c r="CK46">
        <v>0</v>
      </c>
      <c r="CL46">
        <v>4</v>
      </c>
      <c r="CM46">
        <v>1</v>
      </c>
      <c r="CN46">
        <v>1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1</v>
      </c>
      <c r="CY46">
        <v>6</v>
      </c>
      <c r="CZ46">
        <v>4</v>
      </c>
      <c r="DA46">
        <v>1</v>
      </c>
      <c r="DB46">
        <v>0</v>
      </c>
      <c r="DC46">
        <v>0</v>
      </c>
      <c r="DD46">
        <v>0</v>
      </c>
      <c r="DE46">
        <v>0</v>
      </c>
      <c r="DF46">
        <v>1</v>
      </c>
      <c r="DG46">
        <v>0</v>
      </c>
      <c r="DH46">
        <v>0</v>
      </c>
      <c r="DI46">
        <v>0</v>
      </c>
      <c r="DJ46">
        <v>6</v>
      </c>
      <c r="DK46">
        <v>10</v>
      </c>
      <c r="DL46">
        <v>9</v>
      </c>
      <c r="DM46">
        <v>1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10</v>
      </c>
      <c r="DW46">
        <v>10</v>
      </c>
      <c r="DX46">
        <v>2</v>
      </c>
      <c r="DY46">
        <v>3</v>
      </c>
      <c r="DZ46">
        <v>0</v>
      </c>
      <c r="EA46">
        <v>0</v>
      </c>
      <c r="EB46">
        <v>3</v>
      </c>
      <c r="EC46">
        <v>0</v>
      </c>
      <c r="ED46">
        <v>0</v>
      </c>
      <c r="EE46">
        <v>0</v>
      </c>
      <c r="EF46">
        <v>2</v>
      </c>
      <c r="EG46">
        <v>0</v>
      </c>
      <c r="EH46">
        <v>10</v>
      </c>
      <c r="EI46">
        <v>7</v>
      </c>
      <c r="EJ46">
        <v>0</v>
      </c>
      <c r="EK46">
        <v>5</v>
      </c>
      <c r="EL46">
        <v>0</v>
      </c>
      <c r="EM46">
        <v>0</v>
      </c>
      <c r="EN46">
        <v>0</v>
      </c>
      <c r="EO46">
        <v>0</v>
      </c>
      <c r="EP46">
        <v>1</v>
      </c>
      <c r="EQ46">
        <v>1</v>
      </c>
      <c r="ER46">
        <v>7</v>
      </c>
      <c r="ES46">
        <v>1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1</v>
      </c>
      <c r="EZ46">
        <v>0</v>
      </c>
      <c r="FA46">
        <v>0</v>
      </c>
      <c r="FB46">
        <v>0</v>
      </c>
      <c r="FC46">
        <v>0</v>
      </c>
      <c r="FD46">
        <v>1</v>
      </c>
      <c r="FE46">
        <v>2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1</v>
      </c>
      <c r="FN46">
        <v>1</v>
      </c>
      <c r="FO46">
        <v>0</v>
      </c>
      <c r="FP46">
        <v>2</v>
      </c>
    </row>
    <row r="47" spans="1:172" ht="14.25">
      <c r="A47">
        <v>42</v>
      </c>
      <c r="B47" t="str">
        <f t="shared" si="7"/>
        <v>100103</v>
      </c>
      <c r="C47" t="str">
        <f t="shared" si="8"/>
        <v>Drużbice</v>
      </c>
      <c r="D47" t="str">
        <f t="shared" si="6"/>
        <v>bełchatowski</v>
      </c>
      <c r="E47" t="str">
        <f t="shared" si="3"/>
        <v>łódzkie</v>
      </c>
      <c r="F47">
        <v>5</v>
      </c>
      <c r="G47" t="str">
        <f>"Budynek byłej Szkoły Podstawowej w Suchcicach, Suchcice 61, 97-403 Drużbice"</f>
        <v>Budynek byłej Szkoły Podstawowej w Suchcicach, Suchcice 61, 97-403 Drużbice</v>
      </c>
      <c r="H47">
        <v>770</v>
      </c>
      <c r="I47">
        <v>770</v>
      </c>
      <c r="J47">
        <v>0</v>
      </c>
      <c r="K47">
        <v>540</v>
      </c>
      <c r="L47">
        <v>418</v>
      </c>
      <c r="M47">
        <v>122</v>
      </c>
      <c r="N47">
        <v>122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122</v>
      </c>
      <c r="Z47">
        <v>0</v>
      </c>
      <c r="AA47">
        <v>0</v>
      </c>
      <c r="AB47">
        <v>122</v>
      </c>
      <c r="AC47">
        <v>8</v>
      </c>
      <c r="AD47">
        <v>114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4</v>
      </c>
      <c r="AR47">
        <v>1</v>
      </c>
      <c r="AS47">
        <v>0</v>
      </c>
      <c r="AT47">
        <v>0</v>
      </c>
      <c r="AU47">
        <v>2</v>
      </c>
      <c r="AV47">
        <v>0</v>
      </c>
      <c r="AW47">
        <v>0</v>
      </c>
      <c r="AX47">
        <v>1</v>
      </c>
      <c r="AY47">
        <v>0</v>
      </c>
      <c r="AZ47">
        <v>0</v>
      </c>
      <c r="BA47">
        <v>0</v>
      </c>
      <c r="BB47">
        <v>4</v>
      </c>
      <c r="BC47">
        <v>10</v>
      </c>
      <c r="BD47">
        <v>2</v>
      </c>
      <c r="BE47">
        <v>1</v>
      </c>
      <c r="BF47">
        <v>0</v>
      </c>
      <c r="BG47">
        <v>0</v>
      </c>
      <c r="BH47">
        <v>2</v>
      </c>
      <c r="BI47">
        <v>0</v>
      </c>
      <c r="BJ47">
        <v>3</v>
      </c>
      <c r="BK47">
        <v>0</v>
      </c>
      <c r="BL47">
        <v>1</v>
      </c>
      <c r="BM47">
        <v>1</v>
      </c>
      <c r="BN47">
        <v>10</v>
      </c>
      <c r="BO47">
        <v>60</v>
      </c>
      <c r="BP47">
        <v>56</v>
      </c>
      <c r="BQ47">
        <v>0</v>
      </c>
      <c r="BR47">
        <v>0</v>
      </c>
      <c r="BS47">
        <v>0</v>
      </c>
      <c r="BT47">
        <v>0</v>
      </c>
      <c r="BU47">
        <v>3</v>
      </c>
      <c r="BV47">
        <v>0</v>
      </c>
      <c r="BW47">
        <v>1</v>
      </c>
      <c r="BX47">
        <v>0</v>
      </c>
      <c r="BY47">
        <v>0</v>
      </c>
      <c r="BZ47">
        <v>60</v>
      </c>
      <c r="CA47">
        <v>1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1</v>
      </c>
      <c r="CM47">
        <v>2</v>
      </c>
      <c r="CN47">
        <v>2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</v>
      </c>
      <c r="CY47">
        <v>8</v>
      </c>
      <c r="CZ47">
        <v>8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8</v>
      </c>
      <c r="DK47">
        <v>10</v>
      </c>
      <c r="DL47">
        <v>2</v>
      </c>
      <c r="DM47">
        <v>1</v>
      </c>
      <c r="DN47">
        <v>0</v>
      </c>
      <c r="DO47">
        <v>0</v>
      </c>
      <c r="DP47">
        <v>0</v>
      </c>
      <c r="DQ47">
        <v>0</v>
      </c>
      <c r="DR47">
        <v>7</v>
      </c>
      <c r="DS47">
        <v>0</v>
      </c>
      <c r="DT47">
        <v>0</v>
      </c>
      <c r="DU47">
        <v>0</v>
      </c>
      <c r="DV47">
        <v>10</v>
      </c>
      <c r="DW47">
        <v>19</v>
      </c>
      <c r="DX47">
        <v>7</v>
      </c>
      <c r="DY47">
        <v>2</v>
      </c>
      <c r="DZ47">
        <v>0</v>
      </c>
      <c r="EA47">
        <v>0</v>
      </c>
      <c r="EB47">
        <v>6</v>
      </c>
      <c r="EC47">
        <v>3</v>
      </c>
      <c r="ED47">
        <v>0</v>
      </c>
      <c r="EE47">
        <v>0</v>
      </c>
      <c r="EF47">
        <v>0</v>
      </c>
      <c r="EG47">
        <v>1</v>
      </c>
      <c r="EH47">
        <v>19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</row>
    <row r="48" spans="1:172" ht="14.25">
      <c r="A48">
        <v>43</v>
      </c>
      <c r="B48" t="str">
        <f t="shared" si="7"/>
        <v>100103</v>
      </c>
      <c r="C48" t="str">
        <f t="shared" si="8"/>
        <v>Drużbice</v>
      </c>
      <c r="D48" t="str">
        <f t="shared" si="6"/>
        <v>bełchatowski</v>
      </c>
      <c r="E48" t="str">
        <f t="shared" si="3"/>
        <v>łódzkie</v>
      </c>
      <c r="F48">
        <v>6</v>
      </c>
      <c r="G48" t="str">
        <f>"Gimnazjum w Rasach, Rasy 27, 97-403 Drużbice"</f>
        <v>Gimnazjum w Rasach, Rasy 27, 97-403 Drużbice</v>
      </c>
      <c r="H48">
        <v>775</v>
      </c>
      <c r="I48">
        <v>775</v>
      </c>
      <c r="J48">
        <v>0</v>
      </c>
      <c r="K48">
        <v>540</v>
      </c>
      <c r="L48">
        <v>361</v>
      </c>
      <c r="M48">
        <v>179</v>
      </c>
      <c r="N48">
        <v>179</v>
      </c>
      <c r="O48">
        <v>0</v>
      </c>
      <c r="P48">
        <v>0</v>
      </c>
      <c r="Q48">
        <v>4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179</v>
      </c>
      <c r="Z48">
        <v>0</v>
      </c>
      <c r="AA48">
        <v>0</v>
      </c>
      <c r="AB48">
        <v>179</v>
      </c>
      <c r="AC48">
        <v>5</v>
      </c>
      <c r="AD48">
        <v>174</v>
      </c>
      <c r="AE48">
        <v>1</v>
      </c>
      <c r="AF48">
        <v>0</v>
      </c>
      <c r="AG48">
        <v>0</v>
      </c>
      <c r="AH48">
        <v>0</v>
      </c>
      <c r="AI48">
        <v>0</v>
      </c>
      <c r="AJ48">
        <v>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2</v>
      </c>
      <c r="AR48">
        <v>1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1</v>
      </c>
      <c r="BB48">
        <v>2</v>
      </c>
      <c r="BC48">
        <v>10</v>
      </c>
      <c r="BD48">
        <v>1</v>
      </c>
      <c r="BE48">
        <v>2</v>
      </c>
      <c r="BF48">
        <v>0</v>
      </c>
      <c r="BG48">
        <v>0</v>
      </c>
      <c r="BH48">
        <v>0</v>
      </c>
      <c r="BI48">
        <v>0</v>
      </c>
      <c r="BJ48">
        <v>7</v>
      </c>
      <c r="BK48">
        <v>0</v>
      </c>
      <c r="BL48">
        <v>0</v>
      </c>
      <c r="BM48">
        <v>0</v>
      </c>
      <c r="BN48">
        <v>10</v>
      </c>
      <c r="BO48">
        <v>101</v>
      </c>
      <c r="BP48">
        <v>78</v>
      </c>
      <c r="BQ48">
        <v>2</v>
      </c>
      <c r="BR48">
        <v>1</v>
      </c>
      <c r="BS48">
        <v>4</v>
      </c>
      <c r="BT48">
        <v>2</v>
      </c>
      <c r="BU48">
        <v>1</v>
      </c>
      <c r="BV48">
        <v>0</v>
      </c>
      <c r="BW48">
        <v>4</v>
      </c>
      <c r="BX48">
        <v>4</v>
      </c>
      <c r="BY48">
        <v>5</v>
      </c>
      <c r="BZ48">
        <v>101</v>
      </c>
      <c r="CA48">
        <v>1</v>
      </c>
      <c r="CB48">
        <v>0</v>
      </c>
      <c r="CC48">
        <v>0</v>
      </c>
      <c r="CD48">
        <v>1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</v>
      </c>
      <c r="CM48">
        <v>1</v>
      </c>
      <c r="CN48">
        <v>0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7</v>
      </c>
      <c r="CZ48">
        <v>7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7</v>
      </c>
      <c r="DK48">
        <v>33</v>
      </c>
      <c r="DL48">
        <v>13</v>
      </c>
      <c r="DM48">
        <v>4</v>
      </c>
      <c r="DN48">
        <v>0</v>
      </c>
      <c r="DO48">
        <v>0</v>
      </c>
      <c r="DP48">
        <v>1</v>
      </c>
      <c r="DQ48">
        <v>0</v>
      </c>
      <c r="DR48">
        <v>13</v>
      </c>
      <c r="DS48">
        <v>0</v>
      </c>
      <c r="DT48">
        <v>0</v>
      </c>
      <c r="DU48">
        <v>2</v>
      </c>
      <c r="DV48">
        <v>33</v>
      </c>
      <c r="DW48">
        <v>12</v>
      </c>
      <c r="DX48">
        <v>0</v>
      </c>
      <c r="DY48">
        <v>2</v>
      </c>
      <c r="DZ48">
        <v>0</v>
      </c>
      <c r="EA48">
        <v>0</v>
      </c>
      <c r="EB48">
        <v>4</v>
      </c>
      <c r="EC48">
        <v>3</v>
      </c>
      <c r="ED48">
        <v>1</v>
      </c>
      <c r="EE48">
        <v>1</v>
      </c>
      <c r="EF48">
        <v>0</v>
      </c>
      <c r="EG48">
        <v>1</v>
      </c>
      <c r="EH48">
        <v>12</v>
      </c>
      <c r="EI48">
        <v>2</v>
      </c>
      <c r="EJ48">
        <v>0</v>
      </c>
      <c r="EK48">
        <v>1</v>
      </c>
      <c r="EL48">
        <v>1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2</v>
      </c>
      <c r="ES48">
        <v>3</v>
      </c>
      <c r="ET48">
        <v>1</v>
      </c>
      <c r="EU48">
        <v>0</v>
      </c>
      <c r="EV48">
        <v>0</v>
      </c>
      <c r="EW48">
        <v>1</v>
      </c>
      <c r="EX48">
        <v>0</v>
      </c>
      <c r="EY48">
        <v>1</v>
      </c>
      <c r="EZ48">
        <v>0</v>
      </c>
      <c r="FA48">
        <v>0</v>
      </c>
      <c r="FB48">
        <v>0</v>
      </c>
      <c r="FC48">
        <v>0</v>
      </c>
      <c r="FD48">
        <v>3</v>
      </c>
      <c r="FE48">
        <v>1</v>
      </c>
      <c r="FF48">
        <v>1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1</v>
      </c>
    </row>
    <row r="49" spans="1:172" ht="14.25">
      <c r="A49">
        <v>44</v>
      </c>
      <c r="B49" t="str">
        <f>"100104"</f>
        <v>100104</v>
      </c>
      <c r="C49" t="str">
        <f>"Kleszczów"</f>
        <v>Kleszczów</v>
      </c>
      <c r="D49" t="str">
        <f t="shared" si="6"/>
        <v>bełchatowski</v>
      </c>
      <c r="E49" t="str">
        <f t="shared" si="3"/>
        <v>łódzkie</v>
      </c>
      <c r="F49">
        <v>1</v>
      </c>
      <c r="G49" t="str">
        <f>"Dom Kultury w Żłobnicy, Żłobnica 25, 97-410 Kleszczów"</f>
        <v>Dom Kultury w Żłobnicy, Żłobnica 25, 97-410 Kleszczów</v>
      </c>
      <c r="H49">
        <v>694</v>
      </c>
      <c r="I49">
        <v>694</v>
      </c>
      <c r="J49">
        <v>0</v>
      </c>
      <c r="K49">
        <v>490</v>
      </c>
      <c r="L49">
        <v>377</v>
      </c>
      <c r="M49">
        <v>113</v>
      </c>
      <c r="N49">
        <v>113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113</v>
      </c>
      <c r="Z49">
        <v>0</v>
      </c>
      <c r="AA49">
        <v>0</v>
      </c>
      <c r="AB49">
        <v>113</v>
      </c>
      <c r="AC49">
        <v>3</v>
      </c>
      <c r="AD49">
        <v>110</v>
      </c>
      <c r="AE49">
        <v>3</v>
      </c>
      <c r="AF49">
        <v>0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2</v>
      </c>
      <c r="AP49">
        <v>3</v>
      </c>
      <c r="AQ49">
        <v>7</v>
      </c>
      <c r="AR49">
        <v>5</v>
      </c>
      <c r="AS49">
        <v>0</v>
      </c>
      <c r="AT49">
        <v>1</v>
      </c>
      <c r="AU49">
        <v>0</v>
      </c>
      <c r="AV49">
        <v>0</v>
      </c>
      <c r="AW49">
        <v>0</v>
      </c>
      <c r="AX49">
        <v>0</v>
      </c>
      <c r="AY49">
        <v>1</v>
      </c>
      <c r="AZ49">
        <v>0</v>
      </c>
      <c r="BA49">
        <v>0</v>
      </c>
      <c r="BB49">
        <v>7</v>
      </c>
      <c r="BC49">
        <v>8</v>
      </c>
      <c r="BD49">
        <v>3</v>
      </c>
      <c r="BE49">
        <v>1</v>
      </c>
      <c r="BF49">
        <v>0</v>
      </c>
      <c r="BG49">
        <v>0</v>
      </c>
      <c r="BH49">
        <v>0</v>
      </c>
      <c r="BI49">
        <v>0</v>
      </c>
      <c r="BJ49">
        <v>3</v>
      </c>
      <c r="BK49">
        <v>0</v>
      </c>
      <c r="BL49">
        <v>0</v>
      </c>
      <c r="BM49">
        <v>1</v>
      </c>
      <c r="BN49">
        <v>8</v>
      </c>
      <c r="BO49">
        <v>39</v>
      </c>
      <c r="BP49">
        <v>32</v>
      </c>
      <c r="BQ49">
        <v>0</v>
      </c>
      <c r="BR49">
        <v>2</v>
      </c>
      <c r="BS49">
        <v>0</v>
      </c>
      <c r="BT49">
        <v>0</v>
      </c>
      <c r="BU49">
        <v>1</v>
      </c>
      <c r="BV49">
        <v>1</v>
      </c>
      <c r="BW49">
        <v>2</v>
      </c>
      <c r="BX49">
        <v>1</v>
      </c>
      <c r="BY49">
        <v>0</v>
      </c>
      <c r="BZ49">
        <v>39</v>
      </c>
      <c r="CA49">
        <v>3</v>
      </c>
      <c r="CB49">
        <v>0</v>
      </c>
      <c r="CC49">
        <v>1</v>
      </c>
      <c r="CD49">
        <v>0</v>
      </c>
      <c r="CE49">
        <v>0</v>
      </c>
      <c r="CF49">
        <v>0</v>
      </c>
      <c r="CG49">
        <v>1</v>
      </c>
      <c r="CH49">
        <v>1</v>
      </c>
      <c r="CI49">
        <v>0</v>
      </c>
      <c r="CJ49">
        <v>0</v>
      </c>
      <c r="CK49">
        <v>0</v>
      </c>
      <c r="CL49">
        <v>3</v>
      </c>
      <c r="CM49">
        <v>1</v>
      </c>
      <c r="CN49">
        <v>1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1</v>
      </c>
      <c r="CY49">
        <v>16</v>
      </c>
      <c r="CZ49">
        <v>11</v>
      </c>
      <c r="DA49">
        <v>1</v>
      </c>
      <c r="DB49">
        <v>0</v>
      </c>
      <c r="DC49">
        <v>0</v>
      </c>
      <c r="DD49">
        <v>0</v>
      </c>
      <c r="DE49">
        <v>0</v>
      </c>
      <c r="DF49">
        <v>2</v>
      </c>
      <c r="DG49">
        <v>0</v>
      </c>
      <c r="DH49">
        <v>1</v>
      </c>
      <c r="DI49">
        <v>1</v>
      </c>
      <c r="DJ49">
        <v>16</v>
      </c>
      <c r="DK49">
        <v>19</v>
      </c>
      <c r="DL49">
        <v>15</v>
      </c>
      <c r="DM49">
        <v>1</v>
      </c>
      <c r="DN49">
        <v>0</v>
      </c>
      <c r="DO49">
        <v>1</v>
      </c>
      <c r="DP49">
        <v>0</v>
      </c>
      <c r="DQ49">
        <v>0</v>
      </c>
      <c r="DR49">
        <v>2</v>
      </c>
      <c r="DS49">
        <v>0</v>
      </c>
      <c r="DT49">
        <v>0</v>
      </c>
      <c r="DU49">
        <v>0</v>
      </c>
      <c r="DV49">
        <v>19</v>
      </c>
      <c r="DW49">
        <v>14</v>
      </c>
      <c r="DX49">
        <v>3</v>
      </c>
      <c r="DY49">
        <v>3</v>
      </c>
      <c r="DZ49">
        <v>0</v>
      </c>
      <c r="EA49">
        <v>0</v>
      </c>
      <c r="EB49">
        <v>8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</row>
    <row r="50" spans="1:172" ht="14.25">
      <c r="A50">
        <v>45</v>
      </c>
      <c r="B50" t="str">
        <f>"100104"</f>
        <v>100104</v>
      </c>
      <c r="C50" t="str">
        <f>"Kleszczów"</f>
        <v>Kleszczów</v>
      </c>
      <c r="D50" t="str">
        <f t="shared" si="6"/>
        <v>bełchatowski</v>
      </c>
      <c r="E50" t="str">
        <f t="shared" si="3"/>
        <v>łódzkie</v>
      </c>
      <c r="F50">
        <v>2</v>
      </c>
      <c r="G50" t="str">
        <f>"Szkoła Podstawowa w Kleszczowie, ul. Szkolna 4, 97-410 Kleszczów"</f>
        <v>Szkoła Podstawowa w Kleszczowie, ul. Szkolna 4, 97-410 Kleszczów</v>
      </c>
      <c r="H50">
        <v>1412</v>
      </c>
      <c r="I50">
        <v>1412</v>
      </c>
      <c r="J50">
        <v>0</v>
      </c>
      <c r="K50">
        <v>990</v>
      </c>
      <c r="L50">
        <v>711</v>
      </c>
      <c r="M50">
        <v>279</v>
      </c>
      <c r="N50">
        <v>279</v>
      </c>
      <c r="O50">
        <v>0</v>
      </c>
      <c r="P50">
        <v>1</v>
      </c>
      <c r="Q50">
        <v>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279</v>
      </c>
      <c r="Z50">
        <v>0</v>
      </c>
      <c r="AA50">
        <v>0</v>
      </c>
      <c r="AB50">
        <v>279</v>
      </c>
      <c r="AC50">
        <v>8</v>
      </c>
      <c r="AD50">
        <v>271</v>
      </c>
      <c r="AE50">
        <v>3</v>
      </c>
      <c r="AF50">
        <v>2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3</v>
      </c>
      <c r="AQ50">
        <v>12</v>
      </c>
      <c r="AR50">
        <v>5</v>
      </c>
      <c r="AS50">
        <v>4</v>
      </c>
      <c r="AT50">
        <v>1</v>
      </c>
      <c r="AU50">
        <v>0</v>
      </c>
      <c r="AV50">
        <v>0</v>
      </c>
      <c r="AW50">
        <v>1</v>
      </c>
      <c r="AX50">
        <v>0</v>
      </c>
      <c r="AY50">
        <v>0</v>
      </c>
      <c r="AZ50">
        <v>0</v>
      </c>
      <c r="BA50">
        <v>1</v>
      </c>
      <c r="BB50">
        <v>12</v>
      </c>
      <c r="BC50">
        <v>21</v>
      </c>
      <c r="BD50">
        <v>3</v>
      </c>
      <c r="BE50">
        <v>2</v>
      </c>
      <c r="BF50">
        <v>1</v>
      </c>
      <c r="BG50">
        <v>1</v>
      </c>
      <c r="BH50">
        <v>0</v>
      </c>
      <c r="BI50">
        <v>1</v>
      </c>
      <c r="BJ50">
        <v>12</v>
      </c>
      <c r="BK50">
        <v>0</v>
      </c>
      <c r="BL50">
        <v>0</v>
      </c>
      <c r="BM50">
        <v>1</v>
      </c>
      <c r="BN50">
        <v>21</v>
      </c>
      <c r="BO50">
        <v>125</v>
      </c>
      <c r="BP50">
        <v>99</v>
      </c>
      <c r="BQ50">
        <v>7</v>
      </c>
      <c r="BR50">
        <v>2</v>
      </c>
      <c r="BS50">
        <v>2</v>
      </c>
      <c r="BT50">
        <v>2</v>
      </c>
      <c r="BU50">
        <v>4</v>
      </c>
      <c r="BV50">
        <v>0</v>
      </c>
      <c r="BW50">
        <v>2</v>
      </c>
      <c r="BX50">
        <v>3</v>
      </c>
      <c r="BY50">
        <v>4</v>
      </c>
      <c r="BZ50">
        <v>125</v>
      </c>
      <c r="CA50">
        <v>8</v>
      </c>
      <c r="CB50">
        <v>7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1</v>
      </c>
      <c r="CI50">
        <v>0</v>
      </c>
      <c r="CJ50">
        <v>0</v>
      </c>
      <c r="CK50">
        <v>0</v>
      </c>
      <c r="CL50">
        <v>8</v>
      </c>
      <c r="CM50">
        <v>6</v>
      </c>
      <c r="CN50">
        <v>6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6</v>
      </c>
      <c r="CY50">
        <v>28</v>
      </c>
      <c r="CZ50">
        <v>19</v>
      </c>
      <c r="DA50">
        <v>4</v>
      </c>
      <c r="DB50">
        <v>0</v>
      </c>
      <c r="DC50">
        <v>2</v>
      </c>
      <c r="DD50">
        <v>0</v>
      </c>
      <c r="DE50">
        <v>0</v>
      </c>
      <c r="DF50">
        <v>0</v>
      </c>
      <c r="DG50">
        <v>0</v>
      </c>
      <c r="DH50">
        <v>2</v>
      </c>
      <c r="DI50">
        <v>1</v>
      </c>
      <c r="DJ50">
        <v>28</v>
      </c>
      <c r="DK50">
        <v>57</v>
      </c>
      <c r="DL50">
        <v>30</v>
      </c>
      <c r="DM50">
        <v>9</v>
      </c>
      <c r="DN50">
        <v>0</v>
      </c>
      <c r="DO50">
        <v>0</v>
      </c>
      <c r="DP50">
        <v>1</v>
      </c>
      <c r="DQ50">
        <v>0</v>
      </c>
      <c r="DR50">
        <v>17</v>
      </c>
      <c r="DS50">
        <v>0</v>
      </c>
      <c r="DT50">
        <v>0</v>
      </c>
      <c r="DU50">
        <v>0</v>
      </c>
      <c r="DV50">
        <v>57</v>
      </c>
      <c r="DW50">
        <v>9</v>
      </c>
      <c r="DX50">
        <v>0</v>
      </c>
      <c r="DY50">
        <v>3</v>
      </c>
      <c r="DZ50">
        <v>0</v>
      </c>
      <c r="EA50">
        <v>0</v>
      </c>
      <c r="EB50">
        <v>6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9</v>
      </c>
      <c r="EI50">
        <v>2</v>
      </c>
      <c r="EJ50">
        <v>1</v>
      </c>
      <c r="EK50">
        <v>1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2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</row>
    <row r="51" spans="1:172" ht="14.25">
      <c r="A51">
        <v>46</v>
      </c>
      <c r="B51" t="str">
        <f>"100104"</f>
        <v>100104</v>
      </c>
      <c r="C51" t="str">
        <f>"Kleszczów"</f>
        <v>Kleszczów</v>
      </c>
      <c r="D51" t="str">
        <f t="shared" si="6"/>
        <v>bełchatowski</v>
      </c>
      <c r="E51" t="str">
        <f t="shared" si="3"/>
        <v>łódzkie</v>
      </c>
      <c r="F51">
        <v>3</v>
      </c>
      <c r="G51" t="str">
        <f>"Szkoła Podstawowa w Łękińsku, ul. Szkolna 20, Łękińsko, 97-410 Kleszczów"</f>
        <v>Szkoła Podstawowa w Łękińsku, ul. Szkolna 20, Łękińsko, 97-410 Kleszczów</v>
      </c>
      <c r="H51">
        <v>1113</v>
      </c>
      <c r="I51">
        <v>1113</v>
      </c>
      <c r="J51">
        <v>0</v>
      </c>
      <c r="K51">
        <v>779</v>
      </c>
      <c r="L51">
        <v>583</v>
      </c>
      <c r="M51">
        <v>196</v>
      </c>
      <c r="N51">
        <v>196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196</v>
      </c>
      <c r="Z51">
        <v>0</v>
      </c>
      <c r="AA51">
        <v>0</v>
      </c>
      <c r="AB51">
        <v>196</v>
      </c>
      <c r="AC51">
        <v>6</v>
      </c>
      <c r="AD51">
        <v>190</v>
      </c>
      <c r="AE51">
        <v>5</v>
      </c>
      <c r="AF51">
        <v>3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1</v>
      </c>
      <c r="AP51">
        <v>5</v>
      </c>
      <c r="AQ51">
        <v>6</v>
      </c>
      <c r="AR51">
        <v>4</v>
      </c>
      <c r="AS51">
        <v>0</v>
      </c>
      <c r="AT51">
        <v>0</v>
      </c>
      <c r="AU51">
        <v>0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1</v>
      </c>
      <c r="BB51">
        <v>6</v>
      </c>
      <c r="BC51">
        <v>24</v>
      </c>
      <c r="BD51">
        <v>4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13</v>
      </c>
      <c r="BK51">
        <v>0</v>
      </c>
      <c r="BL51">
        <v>0</v>
      </c>
      <c r="BM51">
        <v>2</v>
      </c>
      <c r="BN51">
        <v>24</v>
      </c>
      <c r="BO51">
        <v>95</v>
      </c>
      <c r="BP51">
        <v>75</v>
      </c>
      <c r="BQ51">
        <v>6</v>
      </c>
      <c r="BR51">
        <v>4</v>
      </c>
      <c r="BS51">
        <v>4</v>
      </c>
      <c r="BT51">
        <v>2</v>
      </c>
      <c r="BU51">
        <v>0</v>
      </c>
      <c r="BV51">
        <v>1</v>
      </c>
      <c r="BW51">
        <v>1</v>
      </c>
      <c r="BX51">
        <v>0</v>
      </c>
      <c r="BY51">
        <v>2</v>
      </c>
      <c r="BZ51">
        <v>95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6</v>
      </c>
      <c r="CN51">
        <v>5</v>
      </c>
      <c r="CO51">
        <v>0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6</v>
      </c>
      <c r="CY51">
        <v>19</v>
      </c>
      <c r="CZ51">
        <v>11</v>
      </c>
      <c r="DA51">
        <v>0</v>
      </c>
      <c r="DB51">
        <v>1</v>
      </c>
      <c r="DC51">
        <v>2</v>
      </c>
      <c r="DD51">
        <v>0</v>
      </c>
      <c r="DE51">
        <v>0</v>
      </c>
      <c r="DF51">
        <v>0</v>
      </c>
      <c r="DG51">
        <v>1</v>
      </c>
      <c r="DH51">
        <v>1</v>
      </c>
      <c r="DI51">
        <v>3</v>
      </c>
      <c r="DJ51">
        <v>19</v>
      </c>
      <c r="DK51">
        <v>21</v>
      </c>
      <c r="DL51">
        <v>8</v>
      </c>
      <c r="DM51">
        <v>6</v>
      </c>
      <c r="DN51">
        <v>0</v>
      </c>
      <c r="DO51">
        <v>2</v>
      </c>
      <c r="DP51">
        <v>0</v>
      </c>
      <c r="DQ51">
        <v>0</v>
      </c>
      <c r="DR51">
        <v>4</v>
      </c>
      <c r="DS51">
        <v>0</v>
      </c>
      <c r="DT51">
        <v>1</v>
      </c>
      <c r="DU51">
        <v>0</v>
      </c>
      <c r="DV51">
        <v>21</v>
      </c>
      <c r="DW51">
        <v>12</v>
      </c>
      <c r="DX51">
        <v>6</v>
      </c>
      <c r="DY51">
        <v>4</v>
      </c>
      <c r="DZ51">
        <v>0</v>
      </c>
      <c r="EA51">
        <v>0</v>
      </c>
      <c r="EB51">
        <v>1</v>
      </c>
      <c r="EC51">
        <v>0</v>
      </c>
      <c r="ED51">
        <v>0</v>
      </c>
      <c r="EE51">
        <v>1</v>
      </c>
      <c r="EF51">
        <v>0</v>
      </c>
      <c r="EG51">
        <v>0</v>
      </c>
      <c r="EH51">
        <v>12</v>
      </c>
      <c r="EI51">
        <v>1</v>
      </c>
      <c r="EJ51">
        <v>0</v>
      </c>
      <c r="EK51">
        <v>1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1</v>
      </c>
      <c r="ET51">
        <v>0</v>
      </c>
      <c r="EU51">
        <v>1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1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</row>
    <row r="52" spans="1:172" ht="14.25">
      <c r="A52">
        <v>47</v>
      </c>
      <c r="B52" t="str">
        <f>"100104"</f>
        <v>100104</v>
      </c>
      <c r="C52" t="str">
        <f>"Kleszczów"</f>
        <v>Kleszczów</v>
      </c>
      <c r="D52" t="str">
        <f t="shared" si="6"/>
        <v>bełchatowski</v>
      </c>
      <c r="E52" t="str">
        <f t="shared" si="3"/>
        <v>łódzkie</v>
      </c>
      <c r="F52">
        <v>4</v>
      </c>
      <c r="G52" t="str">
        <f>"Publiczne Przedszkole Samorządowe w Łuszczanowicach, Łuszczanowice 104B, 97-410 Kleszczów"</f>
        <v>Publiczne Przedszkole Samorządowe w Łuszczanowicach, Łuszczanowice 104B, 97-410 Kleszczów</v>
      </c>
      <c r="H52">
        <v>810</v>
      </c>
      <c r="I52">
        <v>810</v>
      </c>
      <c r="J52">
        <v>0</v>
      </c>
      <c r="K52">
        <v>559</v>
      </c>
      <c r="L52">
        <v>370</v>
      </c>
      <c r="M52">
        <v>189</v>
      </c>
      <c r="N52">
        <v>189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189</v>
      </c>
      <c r="Z52">
        <v>0</v>
      </c>
      <c r="AA52">
        <v>0</v>
      </c>
      <c r="AB52">
        <v>189</v>
      </c>
      <c r="AC52">
        <v>7</v>
      </c>
      <c r="AD52">
        <v>182</v>
      </c>
      <c r="AE52">
        <v>6</v>
      </c>
      <c r="AF52">
        <v>3</v>
      </c>
      <c r="AG52">
        <v>1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1</v>
      </c>
      <c r="AN52">
        <v>0</v>
      </c>
      <c r="AO52">
        <v>0</v>
      </c>
      <c r="AP52">
        <v>6</v>
      </c>
      <c r="AQ52">
        <v>2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0</v>
      </c>
      <c r="AX52">
        <v>0</v>
      </c>
      <c r="AY52">
        <v>0</v>
      </c>
      <c r="AZ52">
        <v>1</v>
      </c>
      <c r="BA52">
        <v>0</v>
      </c>
      <c r="BB52">
        <v>2</v>
      </c>
      <c r="BC52">
        <v>36</v>
      </c>
      <c r="BD52">
        <v>8</v>
      </c>
      <c r="BE52">
        <v>0</v>
      </c>
      <c r="BF52">
        <v>1</v>
      </c>
      <c r="BG52">
        <v>0</v>
      </c>
      <c r="BH52">
        <v>0</v>
      </c>
      <c r="BI52">
        <v>1</v>
      </c>
      <c r="BJ52">
        <v>25</v>
      </c>
      <c r="BK52">
        <v>0</v>
      </c>
      <c r="BL52">
        <v>0</v>
      </c>
      <c r="BM52">
        <v>1</v>
      </c>
      <c r="BN52">
        <v>36</v>
      </c>
      <c r="BO52">
        <v>77</v>
      </c>
      <c r="BP52">
        <v>59</v>
      </c>
      <c r="BQ52">
        <v>2</v>
      </c>
      <c r="BR52">
        <v>0</v>
      </c>
      <c r="BS52">
        <v>3</v>
      </c>
      <c r="BT52">
        <v>2</v>
      </c>
      <c r="BU52">
        <v>2</v>
      </c>
      <c r="BV52">
        <v>4</v>
      </c>
      <c r="BW52">
        <v>3</v>
      </c>
      <c r="BX52">
        <v>1</v>
      </c>
      <c r="BY52">
        <v>1</v>
      </c>
      <c r="BZ52">
        <v>77</v>
      </c>
      <c r="CA52">
        <v>4</v>
      </c>
      <c r="CB52">
        <v>3</v>
      </c>
      <c r="CC52">
        <v>0</v>
      </c>
      <c r="CD52">
        <v>0</v>
      </c>
      <c r="CE52">
        <v>0</v>
      </c>
      <c r="CF52">
        <v>1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4</v>
      </c>
      <c r="CM52">
        <v>2</v>
      </c>
      <c r="CN52">
        <v>1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2</v>
      </c>
      <c r="CY52">
        <v>16</v>
      </c>
      <c r="CZ52">
        <v>13</v>
      </c>
      <c r="DA52">
        <v>1</v>
      </c>
      <c r="DB52">
        <v>0</v>
      </c>
      <c r="DC52">
        <v>2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16</v>
      </c>
      <c r="DK52">
        <v>27</v>
      </c>
      <c r="DL52">
        <v>16</v>
      </c>
      <c r="DM52">
        <v>3</v>
      </c>
      <c r="DN52">
        <v>0</v>
      </c>
      <c r="DO52">
        <v>0</v>
      </c>
      <c r="DP52">
        <v>1</v>
      </c>
      <c r="DQ52">
        <v>0</v>
      </c>
      <c r="DR52">
        <v>7</v>
      </c>
      <c r="DS52">
        <v>0</v>
      </c>
      <c r="DT52">
        <v>0</v>
      </c>
      <c r="DU52">
        <v>0</v>
      </c>
      <c r="DV52">
        <v>27</v>
      </c>
      <c r="DW52">
        <v>8</v>
      </c>
      <c r="DX52">
        <v>0</v>
      </c>
      <c r="DY52">
        <v>6</v>
      </c>
      <c r="DZ52">
        <v>0</v>
      </c>
      <c r="EA52">
        <v>0</v>
      </c>
      <c r="EB52">
        <v>1</v>
      </c>
      <c r="EC52">
        <v>0</v>
      </c>
      <c r="ED52">
        <v>1</v>
      </c>
      <c r="EE52">
        <v>0</v>
      </c>
      <c r="EF52">
        <v>0</v>
      </c>
      <c r="EG52">
        <v>0</v>
      </c>
      <c r="EH52">
        <v>8</v>
      </c>
      <c r="EI52">
        <v>2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1</v>
      </c>
      <c r="EP52">
        <v>1</v>
      </c>
      <c r="EQ52">
        <v>0</v>
      </c>
      <c r="ER52">
        <v>2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2</v>
      </c>
      <c r="FF52">
        <v>0</v>
      </c>
      <c r="FG52">
        <v>0</v>
      </c>
      <c r="FH52">
        <v>0</v>
      </c>
      <c r="FI52">
        <v>1</v>
      </c>
      <c r="FJ52">
        <v>0</v>
      </c>
      <c r="FK52">
        <v>1</v>
      </c>
      <c r="FL52">
        <v>0</v>
      </c>
      <c r="FM52">
        <v>0</v>
      </c>
      <c r="FN52">
        <v>0</v>
      </c>
      <c r="FO52">
        <v>0</v>
      </c>
      <c r="FP52">
        <v>2</v>
      </c>
    </row>
    <row r="53" spans="1:172" ht="14.25">
      <c r="A53">
        <v>48</v>
      </c>
      <c r="B53" t="str">
        <f>"100105"</f>
        <v>100105</v>
      </c>
      <c r="C53" t="str">
        <f>"Kluki"</f>
        <v>Kluki</v>
      </c>
      <c r="D53" t="str">
        <f t="shared" si="6"/>
        <v>bełchatowski</v>
      </c>
      <c r="E53" t="str">
        <f t="shared" si="3"/>
        <v>łódzkie</v>
      </c>
      <c r="F53">
        <v>1</v>
      </c>
      <c r="G53" t="str">
        <f>"Zespół Szkół, ul. Szkolna 4, 97-415 Kluki"</f>
        <v>Zespół Szkół, ul. Szkolna 4, 97-415 Kluki</v>
      </c>
      <c r="H53">
        <v>1497</v>
      </c>
      <c r="I53">
        <v>1497</v>
      </c>
      <c r="J53">
        <v>0</v>
      </c>
      <c r="K53">
        <v>1060</v>
      </c>
      <c r="L53">
        <v>813</v>
      </c>
      <c r="M53">
        <v>247</v>
      </c>
      <c r="N53">
        <v>247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247</v>
      </c>
      <c r="Z53">
        <v>0</v>
      </c>
      <c r="AA53">
        <v>0</v>
      </c>
      <c r="AB53">
        <v>247</v>
      </c>
      <c r="AC53">
        <v>9</v>
      </c>
      <c r="AD53">
        <v>238</v>
      </c>
      <c r="AE53">
        <v>6</v>
      </c>
      <c r="AF53">
        <v>0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2</v>
      </c>
      <c r="AO53">
        <v>3</v>
      </c>
      <c r="AP53">
        <v>6</v>
      </c>
      <c r="AQ53">
        <v>2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0</v>
      </c>
      <c r="AZ53">
        <v>0</v>
      </c>
      <c r="BA53">
        <v>0</v>
      </c>
      <c r="BB53">
        <v>2</v>
      </c>
      <c r="BC53">
        <v>17</v>
      </c>
      <c r="BD53">
        <v>2</v>
      </c>
      <c r="BE53">
        <v>0</v>
      </c>
      <c r="BF53">
        <v>0</v>
      </c>
      <c r="BG53">
        <v>1</v>
      </c>
      <c r="BH53">
        <v>1</v>
      </c>
      <c r="BI53">
        <v>0</v>
      </c>
      <c r="BJ53">
        <v>11</v>
      </c>
      <c r="BK53">
        <v>0</v>
      </c>
      <c r="BL53">
        <v>0</v>
      </c>
      <c r="BM53">
        <v>2</v>
      </c>
      <c r="BN53">
        <v>17</v>
      </c>
      <c r="BO53">
        <v>131</v>
      </c>
      <c r="BP53">
        <v>101</v>
      </c>
      <c r="BQ53">
        <v>6</v>
      </c>
      <c r="BR53">
        <v>5</v>
      </c>
      <c r="BS53">
        <v>12</v>
      </c>
      <c r="BT53">
        <v>0</v>
      </c>
      <c r="BU53">
        <v>2</v>
      </c>
      <c r="BV53">
        <v>3</v>
      </c>
      <c r="BW53">
        <v>0</v>
      </c>
      <c r="BX53">
        <v>0</v>
      </c>
      <c r="BY53">
        <v>2</v>
      </c>
      <c r="BZ53">
        <v>131</v>
      </c>
      <c r="CA53">
        <v>4</v>
      </c>
      <c r="CB53">
        <v>2</v>
      </c>
      <c r="CC53">
        <v>0</v>
      </c>
      <c r="CD53">
        <v>1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1</v>
      </c>
      <c r="CK53">
        <v>0</v>
      </c>
      <c r="CL53">
        <v>4</v>
      </c>
      <c r="CM53">
        <v>10</v>
      </c>
      <c r="CN53">
        <v>8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1</v>
      </c>
      <c r="CU53">
        <v>0</v>
      </c>
      <c r="CV53">
        <v>0</v>
      </c>
      <c r="CW53">
        <v>0</v>
      </c>
      <c r="CX53">
        <v>10</v>
      </c>
      <c r="CY53">
        <v>25</v>
      </c>
      <c r="CZ53">
        <v>17</v>
      </c>
      <c r="DA53">
        <v>0</v>
      </c>
      <c r="DB53">
        <v>1</v>
      </c>
      <c r="DC53">
        <v>0</v>
      </c>
      <c r="DD53">
        <v>1</v>
      </c>
      <c r="DE53">
        <v>0</v>
      </c>
      <c r="DF53">
        <v>1</v>
      </c>
      <c r="DG53">
        <v>3</v>
      </c>
      <c r="DH53">
        <v>1</v>
      </c>
      <c r="DI53">
        <v>1</v>
      </c>
      <c r="DJ53">
        <v>25</v>
      </c>
      <c r="DK53">
        <v>29</v>
      </c>
      <c r="DL53">
        <v>16</v>
      </c>
      <c r="DM53">
        <v>2</v>
      </c>
      <c r="DN53">
        <v>1</v>
      </c>
      <c r="DO53">
        <v>0</v>
      </c>
      <c r="DP53">
        <v>0</v>
      </c>
      <c r="DQ53">
        <v>0</v>
      </c>
      <c r="DR53">
        <v>10</v>
      </c>
      <c r="DS53">
        <v>0</v>
      </c>
      <c r="DT53">
        <v>0</v>
      </c>
      <c r="DU53">
        <v>0</v>
      </c>
      <c r="DV53">
        <v>29</v>
      </c>
      <c r="DW53">
        <v>13</v>
      </c>
      <c r="DX53">
        <v>6</v>
      </c>
      <c r="DY53">
        <v>1</v>
      </c>
      <c r="DZ53">
        <v>0</v>
      </c>
      <c r="EA53">
        <v>2</v>
      </c>
      <c r="EB53">
        <v>0</v>
      </c>
      <c r="EC53">
        <v>0</v>
      </c>
      <c r="ED53">
        <v>0</v>
      </c>
      <c r="EE53">
        <v>1</v>
      </c>
      <c r="EF53">
        <v>0</v>
      </c>
      <c r="EG53">
        <v>3</v>
      </c>
      <c r="EH53">
        <v>13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1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1</v>
      </c>
      <c r="FM53">
        <v>0</v>
      </c>
      <c r="FN53">
        <v>0</v>
      </c>
      <c r="FO53">
        <v>0</v>
      </c>
      <c r="FP53">
        <v>1</v>
      </c>
    </row>
    <row r="54" spans="1:172" ht="14.25">
      <c r="A54">
        <v>49</v>
      </c>
      <c r="B54" t="str">
        <f>"100105"</f>
        <v>100105</v>
      </c>
      <c r="C54" t="str">
        <f>"Kluki"</f>
        <v>Kluki</v>
      </c>
      <c r="D54" t="str">
        <f t="shared" si="6"/>
        <v>bełchatowski</v>
      </c>
      <c r="E54" t="str">
        <f t="shared" si="3"/>
        <v>łódzkie</v>
      </c>
      <c r="F54">
        <v>2</v>
      </c>
      <c r="G54" t="str">
        <f>"Szkoła Podstawowa, Kaszewice 48, 97-415 Kluki"</f>
        <v>Szkoła Podstawowa, Kaszewice 48, 97-415 Kluki</v>
      </c>
      <c r="H54">
        <v>1122</v>
      </c>
      <c r="I54">
        <v>1122</v>
      </c>
      <c r="J54">
        <v>0</v>
      </c>
      <c r="K54">
        <v>800</v>
      </c>
      <c r="L54">
        <v>629</v>
      </c>
      <c r="M54">
        <v>171</v>
      </c>
      <c r="N54">
        <v>171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171</v>
      </c>
      <c r="Z54">
        <v>0</v>
      </c>
      <c r="AA54">
        <v>0</v>
      </c>
      <c r="AB54">
        <v>171</v>
      </c>
      <c r="AC54">
        <v>6</v>
      </c>
      <c r="AD54">
        <v>165</v>
      </c>
      <c r="AE54">
        <v>7</v>
      </c>
      <c r="AF54">
        <v>4</v>
      </c>
      <c r="AG54">
        <v>1</v>
      </c>
      <c r="AH54">
        <v>0</v>
      </c>
      <c r="AI54">
        <v>0</v>
      </c>
      <c r="AJ54">
        <v>0</v>
      </c>
      <c r="AK54">
        <v>1</v>
      </c>
      <c r="AL54">
        <v>1</v>
      </c>
      <c r="AM54">
        <v>0</v>
      </c>
      <c r="AN54">
        <v>0</v>
      </c>
      <c r="AO54">
        <v>0</v>
      </c>
      <c r="AP54">
        <v>7</v>
      </c>
      <c r="AQ54">
        <v>8</v>
      </c>
      <c r="AR54">
        <v>4</v>
      </c>
      <c r="AS54">
        <v>2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0</v>
      </c>
      <c r="AZ54">
        <v>1</v>
      </c>
      <c r="BA54">
        <v>0</v>
      </c>
      <c r="BB54">
        <v>8</v>
      </c>
      <c r="BC54">
        <v>11</v>
      </c>
      <c r="BD54">
        <v>1</v>
      </c>
      <c r="BE54">
        <v>0</v>
      </c>
      <c r="BF54">
        <v>0</v>
      </c>
      <c r="BG54">
        <v>1</v>
      </c>
      <c r="BH54">
        <v>0</v>
      </c>
      <c r="BI54">
        <v>0</v>
      </c>
      <c r="BJ54">
        <v>7</v>
      </c>
      <c r="BK54">
        <v>0</v>
      </c>
      <c r="BL54">
        <v>0</v>
      </c>
      <c r="BM54">
        <v>2</v>
      </c>
      <c r="BN54">
        <v>11</v>
      </c>
      <c r="BO54">
        <v>102</v>
      </c>
      <c r="BP54">
        <v>75</v>
      </c>
      <c r="BQ54">
        <v>4</v>
      </c>
      <c r="BR54">
        <v>2</v>
      </c>
      <c r="BS54">
        <v>7</v>
      </c>
      <c r="BT54">
        <v>0</v>
      </c>
      <c r="BU54">
        <v>3</v>
      </c>
      <c r="BV54">
        <v>6</v>
      </c>
      <c r="BW54">
        <v>0</v>
      </c>
      <c r="BX54">
        <v>3</v>
      </c>
      <c r="BY54">
        <v>2</v>
      </c>
      <c r="BZ54">
        <v>102</v>
      </c>
      <c r="CA54">
        <v>2</v>
      </c>
      <c r="CB54">
        <v>0</v>
      </c>
      <c r="CC54">
        <v>0</v>
      </c>
      <c r="CD54">
        <v>0</v>
      </c>
      <c r="CE54">
        <v>1</v>
      </c>
      <c r="CF54">
        <v>0</v>
      </c>
      <c r="CG54">
        <v>0</v>
      </c>
      <c r="CH54">
        <v>0</v>
      </c>
      <c r="CI54">
        <v>0</v>
      </c>
      <c r="CJ54">
        <v>1</v>
      </c>
      <c r="CK54">
        <v>0</v>
      </c>
      <c r="CL54">
        <v>2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1</v>
      </c>
      <c r="CY54">
        <v>4</v>
      </c>
      <c r="CZ54">
        <v>2</v>
      </c>
      <c r="DA54">
        <v>0</v>
      </c>
      <c r="DB54">
        <v>0</v>
      </c>
      <c r="DC54">
        <v>0</v>
      </c>
      <c r="DD54">
        <v>0</v>
      </c>
      <c r="DE54">
        <v>1</v>
      </c>
      <c r="DF54">
        <v>0</v>
      </c>
      <c r="DG54">
        <v>1</v>
      </c>
      <c r="DH54">
        <v>0</v>
      </c>
      <c r="DI54">
        <v>0</v>
      </c>
      <c r="DJ54">
        <v>4</v>
      </c>
      <c r="DK54">
        <v>21</v>
      </c>
      <c r="DL54">
        <v>7</v>
      </c>
      <c r="DM54">
        <v>3</v>
      </c>
      <c r="DN54">
        <v>0</v>
      </c>
      <c r="DO54">
        <v>0</v>
      </c>
      <c r="DP54">
        <v>0</v>
      </c>
      <c r="DQ54">
        <v>0</v>
      </c>
      <c r="DR54">
        <v>9</v>
      </c>
      <c r="DS54">
        <v>0</v>
      </c>
      <c r="DT54">
        <v>1</v>
      </c>
      <c r="DU54">
        <v>1</v>
      </c>
      <c r="DV54">
        <v>21</v>
      </c>
      <c r="DW54">
        <v>9</v>
      </c>
      <c r="DX54">
        <v>0</v>
      </c>
      <c r="DY54">
        <v>5</v>
      </c>
      <c r="DZ54">
        <v>0</v>
      </c>
      <c r="EA54">
        <v>0</v>
      </c>
      <c r="EB54">
        <v>0</v>
      </c>
      <c r="EC54">
        <v>2</v>
      </c>
      <c r="ED54">
        <v>1</v>
      </c>
      <c r="EE54">
        <v>0</v>
      </c>
      <c r="EF54">
        <v>1</v>
      </c>
      <c r="EG54">
        <v>0</v>
      </c>
      <c r="EH54">
        <v>9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</row>
    <row r="55" spans="1:172" ht="14.25">
      <c r="A55">
        <v>50</v>
      </c>
      <c r="B55" t="str">
        <f>"100105"</f>
        <v>100105</v>
      </c>
      <c r="C55" t="str">
        <f>"Kluki"</f>
        <v>Kluki</v>
      </c>
      <c r="D55" t="str">
        <f t="shared" si="6"/>
        <v>bełchatowski</v>
      </c>
      <c r="E55" t="str">
        <f t="shared" si="3"/>
        <v>łódzkie</v>
      </c>
      <c r="F55">
        <v>3</v>
      </c>
      <c r="G55" t="str">
        <f>"Szkoła Podstawowa, Parzno 33, 97-415 Kluki"</f>
        <v>Szkoła Podstawowa, Parzno 33, 97-415 Kluki</v>
      </c>
      <c r="H55">
        <v>783</v>
      </c>
      <c r="I55">
        <v>783</v>
      </c>
      <c r="J55">
        <v>0</v>
      </c>
      <c r="K55">
        <v>550</v>
      </c>
      <c r="L55">
        <v>431</v>
      </c>
      <c r="M55">
        <v>119</v>
      </c>
      <c r="N55">
        <v>119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119</v>
      </c>
      <c r="Z55">
        <v>0</v>
      </c>
      <c r="AA55">
        <v>0</v>
      </c>
      <c r="AB55">
        <v>119</v>
      </c>
      <c r="AC55">
        <v>4</v>
      </c>
      <c r="AD55">
        <v>115</v>
      </c>
      <c r="AE55">
        <v>5</v>
      </c>
      <c r="AF55">
        <v>2</v>
      </c>
      <c r="AG55">
        <v>2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5</v>
      </c>
      <c r="AQ55">
        <v>2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1</v>
      </c>
      <c r="BB55">
        <v>2</v>
      </c>
      <c r="BC55">
        <v>6</v>
      </c>
      <c r="BD55">
        <v>1</v>
      </c>
      <c r="BE55">
        <v>0</v>
      </c>
      <c r="BF55">
        <v>1</v>
      </c>
      <c r="BG55">
        <v>0</v>
      </c>
      <c r="BH55">
        <v>2</v>
      </c>
      <c r="BI55">
        <v>0</v>
      </c>
      <c r="BJ55">
        <v>2</v>
      </c>
      <c r="BK55">
        <v>0</v>
      </c>
      <c r="BL55">
        <v>0</v>
      </c>
      <c r="BM55">
        <v>0</v>
      </c>
      <c r="BN55">
        <v>6</v>
      </c>
      <c r="BO55">
        <v>54</v>
      </c>
      <c r="BP55">
        <v>31</v>
      </c>
      <c r="BQ55">
        <v>3</v>
      </c>
      <c r="BR55">
        <v>0</v>
      </c>
      <c r="BS55">
        <v>7</v>
      </c>
      <c r="BT55">
        <v>0</v>
      </c>
      <c r="BU55">
        <v>5</v>
      </c>
      <c r="BV55">
        <v>0</v>
      </c>
      <c r="BW55">
        <v>3</v>
      </c>
      <c r="BX55">
        <v>2</v>
      </c>
      <c r="BY55">
        <v>3</v>
      </c>
      <c r="BZ55">
        <v>54</v>
      </c>
      <c r="CA55">
        <v>3</v>
      </c>
      <c r="CB55">
        <v>0</v>
      </c>
      <c r="CC55">
        <v>0</v>
      </c>
      <c r="CD55">
        <v>1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3</v>
      </c>
      <c r="CM55">
        <v>1</v>
      </c>
      <c r="CN55">
        <v>0</v>
      </c>
      <c r="CO55">
        <v>0</v>
      </c>
      <c r="CP55">
        <v>0</v>
      </c>
      <c r="CQ55">
        <v>1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1</v>
      </c>
      <c r="CY55">
        <v>4</v>
      </c>
      <c r="CZ55">
        <v>2</v>
      </c>
      <c r="DA55">
        <v>1</v>
      </c>
      <c r="DB55">
        <v>0</v>
      </c>
      <c r="DC55">
        <v>1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4</v>
      </c>
      <c r="DK55">
        <v>27</v>
      </c>
      <c r="DL55">
        <v>9</v>
      </c>
      <c r="DM55">
        <v>4</v>
      </c>
      <c r="DN55">
        <v>0</v>
      </c>
      <c r="DO55">
        <v>0</v>
      </c>
      <c r="DP55">
        <v>0</v>
      </c>
      <c r="DQ55">
        <v>1</v>
      </c>
      <c r="DR55">
        <v>11</v>
      </c>
      <c r="DS55">
        <v>1</v>
      </c>
      <c r="DT55">
        <v>0</v>
      </c>
      <c r="DU55">
        <v>1</v>
      </c>
      <c r="DV55">
        <v>27</v>
      </c>
      <c r="DW55">
        <v>11</v>
      </c>
      <c r="DX55">
        <v>2</v>
      </c>
      <c r="DY55">
        <v>3</v>
      </c>
      <c r="DZ55">
        <v>0</v>
      </c>
      <c r="EA55">
        <v>0</v>
      </c>
      <c r="EB55">
        <v>4</v>
      </c>
      <c r="EC55">
        <v>0</v>
      </c>
      <c r="ED55">
        <v>1</v>
      </c>
      <c r="EE55">
        <v>1</v>
      </c>
      <c r="EF55">
        <v>0</v>
      </c>
      <c r="EG55">
        <v>0</v>
      </c>
      <c r="EH55">
        <v>11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2</v>
      </c>
      <c r="FF55">
        <v>2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2</v>
      </c>
    </row>
    <row r="56" spans="1:172" ht="14.25">
      <c r="A56">
        <v>51</v>
      </c>
      <c r="B56" t="str">
        <f>"100106"</f>
        <v>100106</v>
      </c>
      <c r="C56" t="str">
        <f>"Rusiec"</f>
        <v>Rusiec</v>
      </c>
      <c r="D56" t="str">
        <f t="shared" si="6"/>
        <v>bełchatowski</v>
      </c>
      <c r="E56" t="str">
        <f t="shared" si="3"/>
        <v>łódzkie</v>
      </c>
      <c r="F56">
        <v>1</v>
      </c>
      <c r="G56" t="str">
        <f>"Urząd Gminy w Ruścu, ul. Wieluńska 35, 97-438 Rusiec"</f>
        <v>Urząd Gminy w Ruścu, ul. Wieluńska 35, 97-438 Rusiec</v>
      </c>
      <c r="H56">
        <v>982</v>
      </c>
      <c r="I56">
        <v>982</v>
      </c>
      <c r="J56">
        <v>0</v>
      </c>
      <c r="K56">
        <v>690</v>
      </c>
      <c r="L56">
        <v>412</v>
      </c>
      <c r="M56">
        <v>278</v>
      </c>
      <c r="N56">
        <v>278</v>
      </c>
      <c r="O56">
        <v>0</v>
      </c>
      <c r="P56">
        <v>0</v>
      </c>
      <c r="Q56">
        <v>2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278</v>
      </c>
      <c r="Z56">
        <v>0</v>
      </c>
      <c r="AA56">
        <v>0</v>
      </c>
      <c r="AB56">
        <v>278</v>
      </c>
      <c r="AC56">
        <v>32</v>
      </c>
      <c r="AD56">
        <v>246</v>
      </c>
      <c r="AE56">
        <v>3</v>
      </c>
      <c r="AF56">
        <v>1</v>
      </c>
      <c r="AG56">
        <v>0</v>
      </c>
      <c r="AH56">
        <v>0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3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1</v>
      </c>
      <c r="AZ56">
        <v>0</v>
      </c>
      <c r="BA56">
        <v>0</v>
      </c>
      <c r="BB56">
        <v>1</v>
      </c>
      <c r="BC56">
        <v>10</v>
      </c>
      <c r="BD56">
        <v>1</v>
      </c>
      <c r="BE56">
        <v>3</v>
      </c>
      <c r="BF56">
        <v>1</v>
      </c>
      <c r="BG56">
        <v>0</v>
      </c>
      <c r="BH56">
        <v>0</v>
      </c>
      <c r="BI56">
        <v>2</v>
      </c>
      <c r="BJ56">
        <v>2</v>
      </c>
      <c r="BK56">
        <v>0</v>
      </c>
      <c r="BL56">
        <v>0</v>
      </c>
      <c r="BM56">
        <v>1</v>
      </c>
      <c r="BN56">
        <v>10</v>
      </c>
      <c r="BO56">
        <v>102</v>
      </c>
      <c r="BP56">
        <v>68</v>
      </c>
      <c r="BQ56">
        <v>7</v>
      </c>
      <c r="BR56">
        <v>1</v>
      </c>
      <c r="BS56">
        <v>11</v>
      </c>
      <c r="BT56">
        <v>0</v>
      </c>
      <c r="BU56">
        <v>7</v>
      </c>
      <c r="BV56">
        <v>4</v>
      </c>
      <c r="BW56">
        <v>0</v>
      </c>
      <c r="BX56">
        <v>2</v>
      </c>
      <c r="BY56">
        <v>2</v>
      </c>
      <c r="BZ56">
        <v>102</v>
      </c>
      <c r="CA56">
        <v>7</v>
      </c>
      <c r="CB56">
        <v>0</v>
      </c>
      <c r="CC56">
        <v>0</v>
      </c>
      <c r="CD56">
        <v>5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2</v>
      </c>
      <c r="CK56">
        <v>0</v>
      </c>
      <c r="CL56">
        <v>7</v>
      </c>
      <c r="CM56">
        <v>5</v>
      </c>
      <c r="CN56">
        <v>3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1</v>
      </c>
      <c r="CX56">
        <v>5</v>
      </c>
      <c r="CY56">
        <v>34</v>
      </c>
      <c r="CZ56">
        <v>21</v>
      </c>
      <c r="DA56">
        <v>4</v>
      </c>
      <c r="DB56">
        <v>1</v>
      </c>
      <c r="DC56">
        <v>0</v>
      </c>
      <c r="DD56">
        <v>1</v>
      </c>
      <c r="DE56">
        <v>1</v>
      </c>
      <c r="DF56">
        <v>1</v>
      </c>
      <c r="DG56">
        <v>3</v>
      </c>
      <c r="DH56">
        <v>2</v>
      </c>
      <c r="DI56">
        <v>0</v>
      </c>
      <c r="DJ56">
        <v>34</v>
      </c>
      <c r="DK56">
        <v>25</v>
      </c>
      <c r="DL56">
        <v>13</v>
      </c>
      <c r="DM56">
        <v>6</v>
      </c>
      <c r="DN56">
        <v>0</v>
      </c>
      <c r="DO56">
        <v>0</v>
      </c>
      <c r="DP56">
        <v>0</v>
      </c>
      <c r="DQ56">
        <v>0</v>
      </c>
      <c r="DR56">
        <v>6</v>
      </c>
      <c r="DS56">
        <v>0</v>
      </c>
      <c r="DT56">
        <v>0</v>
      </c>
      <c r="DU56">
        <v>0</v>
      </c>
      <c r="DV56">
        <v>25</v>
      </c>
      <c r="DW56">
        <v>57</v>
      </c>
      <c r="DX56">
        <v>13</v>
      </c>
      <c r="DY56">
        <v>42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1</v>
      </c>
      <c r="EF56">
        <v>1</v>
      </c>
      <c r="EG56">
        <v>0</v>
      </c>
      <c r="EH56">
        <v>57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2</v>
      </c>
      <c r="ET56">
        <v>2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2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</row>
    <row r="57" spans="1:172" ht="14.25">
      <c r="A57">
        <v>52</v>
      </c>
      <c r="B57" t="str">
        <f>"100106"</f>
        <v>100106</v>
      </c>
      <c r="C57" t="str">
        <f>"Rusiec"</f>
        <v>Rusiec</v>
      </c>
      <c r="D57" t="str">
        <f t="shared" si="6"/>
        <v>bełchatowski</v>
      </c>
      <c r="E57" t="str">
        <f t="shared" si="3"/>
        <v>łódzkie</v>
      </c>
      <c r="F57">
        <v>2</v>
      </c>
      <c r="G57" t="str">
        <f>"Gminny Ośrodek Kultury w Ruścu, ul. Koniecpolskiego 5, 97-438 Rusiec"</f>
        <v>Gminny Ośrodek Kultury w Ruścu, ul. Koniecpolskiego 5, 97-438 Rusiec</v>
      </c>
      <c r="H57">
        <v>1065</v>
      </c>
      <c r="I57">
        <v>1065</v>
      </c>
      <c r="J57">
        <v>0</v>
      </c>
      <c r="K57">
        <v>750</v>
      </c>
      <c r="L57">
        <v>461</v>
      </c>
      <c r="M57">
        <v>289</v>
      </c>
      <c r="N57">
        <v>289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289</v>
      </c>
      <c r="Z57">
        <v>0</v>
      </c>
      <c r="AA57">
        <v>0</v>
      </c>
      <c r="AB57">
        <v>289</v>
      </c>
      <c r="AC57">
        <v>6</v>
      </c>
      <c r="AD57">
        <v>283</v>
      </c>
      <c r="AE57">
        <v>12</v>
      </c>
      <c r="AF57">
        <v>6</v>
      </c>
      <c r="AG57">
        <v>0</v>
      </c>
      <c r="AH57">
        <v>2</v>
      </c>
      <c r="AI57">
        <v>0</v>
      </c>
      <c r="AJ57">
        <v>0</v>
      </c>
      <c r="AK57">
        <v>0</v>
      </c>
      <c r="AL57">
        <v>2</v>
      </c>
      <c r="AM57">
        <v>0</v>
      </c>
      <c r="AN57">
        <v>0</v>
      </c>
      <c r="AO57">
        <v>2</v>
      </c>
      <c r="AP57">
        <v>12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27</v>
      </c>
      <c r="BD57">
        <v>6</v>
      </c>
      <c r="BE57">
        <v>0</v>
      </c>
      <c r="BF57">
        <v>1</v>
      </c>
      <c r="BG57">
        <v>0</v>
      </c>
      <c r="BH57">
        <v>0</v>
      </c>
      <c r="BI57">
        <v>0</v>
      </c>
      <c r="BJ57">
        <v>20</v>
      </c>
      <c r="BK57">
        <v>0</v>
      </c>
      <c r="BL57">
        <v>0</v>
      </c>
      <c r="BM57">
        <v>0</v>
      </c>
      <c r="BN57">
        <v>27</v>
      </c>
      <c r="BO57">
        <v>128</v>
      </c>
      <c r="BP57">
        <v>110</v>
      </c>
      <c r="BQ57">
        <v>6</v>
      </c>
      <c r="BR57">
        <v>3</v>
      </c>
      <c r="BS57">
        <v>4</v>
      </c>
      <c r="BT57">
        <v>1</v>
      </c>
      <c r="BU57">
        <v>1</v>
      </c>
      <c r="BV57">
        <v>1</v>
      </c>
      <c r="BW57">
        <v>1</v>
      </c>
      <c r="BX57">
        <v>0</v>
      </c>
      <c r="BY57">
        <v>1</v>
      </c>
      <c r="BZ57">
        <v>128</v>
      </c>
      <c r="CA57">
        <v>5</v>
      </c>
      <c r="CB57">
        <v>3</v>
      </c>
      <c r="CC57">
        <v>0</v>
      </c>
      <c r="CD57">
        <v>1</v>
      </c>
      <c r="CE57">
        <v>0</v>
      </c>
      <c r="CF57">
        <v>0</v>
      </c>
      <c r="CG57">
        <v>0</v>
      </c>
      <c r="CH57">
        <v>1</v>
      </c>
      <c r="CI57">
        <v>0</v>
      </c>
      <c r="CJ57">
        <v>0</v>
      </c>
      <c r="CK57">
        <v>0</v>
      </c>
      <c r="CL57">
        <v>5</v>
      </c>
      <c r="CM57">
        <v>1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1</v>
      </c>
      <c r="CY57">
        <v>20</v>
      </c>
      <c r="CZ57">
        <v>14</v>
      </c>
      <c r="DA57">
        <v>1</v>
      </c>
      <c r="DB57">
        <v>0</v>
      </c>
      <c r="DC57">
        <v>0</v>
      </c>
      <c r="DD57">
        <v>1</v>
      </c>
      <c r="DE57">
        <v>2</v>
      </c>
      <c r="DF57">
        <v>0</v>
      </c>
      <c r="DG57">
        <v>0</v>
      </c>
      <c r="DH57">
        <v>1</v>
      </c>
      <c r="DI57">
        <v>1</v>
      </c>
      <c r="DJ57">
        <v>20</v>
      </c>
      <c r="DK57">
        <v>42</v>
      </c>
      <c r="DL57">
        <v>20</v>
      </c>
      <c r="DM57">
        <v>9</v>
      </c>
      <c r="DN57">
        <v>0</v>
      </c>
      <c r="DO57">
        <v>4</v>
      </c>
      <c r="DP57">
        <v>0</v>
      </c>
      <c r="DQ57">
        <v>0</v>
      </c>
      <c r="DR57">
        <v>7</v>
      </c>
      <c r="DS57">
        <v>1</v>
      </c>
      <c r="DT57">
        <v>0</v>
      </c>
      <c r="DU57">
        <v>1</v>
      </c>
      <c r="DV57">
        <v>42</v>
      </c>
      <c r="DW57">
        <v>39</v>
      </c>
      <c r="DX57">
        <v>12</v>
      </c>
      <c r="DY57">
        <v>24</v>
      </c>
      <c r="DZ57">
        <v>0</v>
      </c>
      <c r="EA57">
        <v>0</v>
      </c>
      <c r="EB57">
        <v>0</v>
      </c>
      <c r="EC57">
        <v>3</v>
      </c>
      <c r="ED57">
        <v>0</v>
      </c>
      <c r="EE57">
        <v>0</v>
      </c>
      <c r="EF57">
        <v>0</v>
      </c>
      <c r="EG57">
        <v>0</v>
      </c>
      <c r="EH57">
        <v>39</v>
      </c>
      <c r="EI57">
        <v>5</v>
      </c>
      <c r="EJ57">
        <v>0</v>
      </c>
      <c r="EK57">
        <v>5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5</v>
      </c>
      <c r="ES57">
        <v>2</v>
      </c>
      <c r="ET57">
        <v>1</v>
      </c>
      <c r="EU57">
        <v>0</v>
      </c>
      <c r="EV57">
        <v>0</v>
      </c>
      <c r="EW57">
        <v>1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2</v>
      </c>
      <c r="FE57">
        <v>2</v>
      </c>
      <c r="FF57">
        <v>0</v>
      </c>
      <c r="FG57">
        <v>0</v>
      </c>
      <c r="FH57">
        <v>1</v>
      </c>
      <c r="FI57">
        <v>0</v>
      </c>
      <c r="FJ57">
        <v>0</v>
      </c>
      <c r="FK57">
        <v>0</v>
      </c>
      <c r="FL57">
        <v>0</v>
      </c>
      <c r="FM57">
        <v>1</v>
      </c>
      <c r="FN57">
        <v>0</v>
      </c>
      <c r="FO57">
        <v>0</v>
      </c>
      <c r="FP57">
        <v>2</v>
      </c>
    </row>
    <row r="58" spans="1:172" ht="14.25">
      <c r="A58">
        <v>53</v>
      </c>
      <c r="B58" t="str">
        <f>"100106"</f>
        <v>100106</v>
      </c>
      <c r="C58" t="str">
        <f>"Rusiec"</f>
        <v>Rusiec</v>
      </c>
      <c r="D58" t="str">
        <f t="shared" si="6"/>
        <v>bełchatowski</v>
      </c>
      <c r="E58" t="str">
        <f t="shared" si="3"/>
        <v>łódzkie</v>
      </c>
      <c r="F58">
        <v>3</v>
      </c>
      <c r="G58" t="str">
        <f>"Zespół Szkolno-Przedszkolny w Woli Wiązowej, Wola Wiązowa 42, 97-438 Rusiec"</f>
        <v>Zespół Szkolno-Przedszkolny w Woli Wiązowej, Wola Wiązowa 42, 97-438 Rusiec</v>
      </c>
      <c r="H58">
        <v>1056</v>
      </c>
      <c r="I58">
        <v>1056</v>
      </c>
      <c r="J58">
        <v>0</v>
      </c>
      <c r="K58">
        <v>740</v>
      </c>
      <c r="L58">
        <v>470</v>
      </c>
      <c r="M58">
        <v>270</v>
      </c>
      <c r="N58">
        <v>270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270</v>
      </c>
      <c r="Z58">
        <v>0</v>
      </c>
      <c r="AA58">
        <v>0</v>
      </c>
      <c r="AB58">
        <v>270</v>
      </c>
      <c r="AC58">
        <v>18</v>
      </c>
      <c r="AD58">
        <v>252</v>
      </c>
      <c r="AE58">
        <v>8</v>
      </c>
      <c r="AF58">
        <v>7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8</v>
      </c>
      <c r="AQ58">
        <v>3</v>
      </c>
      <c r="AR58">
        <v>2</v>
      </c>
      <c r="AS58">
        <v>1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3</v>
      </c>
      <c r="BC58">
        <v>16</v>
      </c>
      <c r="BD58">
        <v>7</v>
      </c>
      <c r="BE58">
        <v>1</v>
      </c>
      <c r="BF58">
        <v>0</v>
      </c>
      <c r="BG58">
        <v>1</v>
      </c>
      <c r="BH58">
        <v>0</v>
      </c>
      <c r="BI58">
        <v>0</v>
      </c>
      <c r="BJ58">
        <v>6</v>
      </c>
      <c r="BK58">
        <v>0</v>
      </c>
      <c r="BL58">
        <v>0</v>
      </c>
      <c r="BM58">
        <v>1</v>
      </c>
      <c r="BN58">
        <v>16</v>
      </c>
      <c r="BO58">
        <v>94</v>
      </c>
      <c r="BP58">
        <v>81</v>
      </c>
      <c r="BQ58">
        <v>2</v>
      </c>
      <c r="BR58">
        <v>0</v>
      </c>
      <c r="BS58">
        <v>2</v>
      </c>
      <c r="BT58">
        <v>2</v>
      </c>
      <c r="BU58">
        <v>2</v>
      </c>
      <c r="BV58">
        <v>3</v>
      </c>
      <c r="BW58">
        <v>0</v>
      </c>
      <c r="BX58">
        <v>0</v>
      </c>
      <c r="BY58">
        <v>2</v>
      </c>
      <c r="BZ58">
        <v>94</v>
      </c>
      <c r="CA58">
        <v>1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1</v>
      </c>
      <c r="CL58">
        <v>1</v>
      </c>
      <c r="CM58">
        <v>6</v>
      </c>
      <c r="CN58">
        <v>2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2</v>
      </c>
      <c r="CV58">
        <v>0</v>
      </c>
      <c r="CW58">
        <v>1</v>
      </c>
      <c r="CX58">
        <v>6</v>
      </c>
      <c r="CY58">
        <v>16</v>
      </c>
      <c r="CZ58">
        <v>11</v>
      </c>
      <c r="DA58">
        <v>3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1</v>
      </c>
      <c r="DH58">
        <v>1</v>
      </c>
      <c r="DI58">
        <v>0</v>
      </c>
      <c r="DJ58">
        <v>16</v>
      </c>
      <c r="DK58">
        <v>31</v>
      </c>
      <c r="DL58">
        <v>11</v>
      </c>
      <c r="DM58">
        <v>1</v>
      </c>
      <c r="DN58">
        <v>0</v>
      </c>
      <c r="DO58">
        <v>0</v>
      </c>
      <c r="DP58">
        <v>0</v>
      </c>
      <c r="DQ58">
        <v>1</v>
      </c>
      <c r="DR58">
        <v>17</v>
      </c>
      <c r="DS58">
        <v>0</v>
      </c>
      <c r="DT58">
        <v>1</v>
      </c>
      <c r="DU58">
        <v>0</v>
      </c>
      <c r="DV58">
        <v>31</v>
      </c>
      <c r="DW58">
        <v>75</v>
      </c>
      <c r="DX58">
        <v>23</v>
      </c>
      <c r="DY58">
        <v>48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1</v>
      </c>
      <c r="EF58">
        <v>1</v>
      </c>
      <c r="EG58">
        <v>2</v>
      </c>
      <c r="EH58">
        <v>75</v>
      </c>
      <c r="EI58">
        <v>1</v>
      </c>
      <c r="EJ58">
        <v>0</v>
      </c>
      <c r="EK58">
        <v>1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1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1</v>
      </c>
      <c r="FF58">
        <v>0</v>
      </c>
      <c r="FG58">
        <v>1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1</v>
      </c>
    </row>
    <row r="59" spans="1:172" ht="14.25">
      <c r="A59">
        <v>54</v>
      </c>
      <c r="B59" t="str">
        <f>"100106"</f>
        <v>100106</v>
      </c>
      <c r="C59" t="str">
        <f>"Rusiec"</f>
        <v>Rusiec</v>
      </c>
      <c r="D59" t="str">
        <f t="shared" si="6"/>
        <v>bełchatowski</v>
      </c>
      <c r="E59" t="str">
        <f t="shared" si="3"/>
        <v>łódzkie</v>
      </c>
      <c r="F59">
        <v>4</v>
      </c>
      <c r="G59" t="str">
        <f>"Dom Dziecka w Dąbrowie Rusieckiej, Dąbrowa Rusiecka 51, 97-438 Rusiec"</f>
        <v>Dom Dziecka w Dąbrowie Rusieckiej, Dąbrowa Rusiecka 51, 97-438 Rusiec</v>
      </c>
      <c r="H59">
        <v>484</v>
      </c>
      <c r="I59">
        <v>484</v>
      </c>
      <c r="J59">
        <v>0</v>
      </c>
      <c r="K59">
        <v>342</v>
      </c>
      <c r="L59">
        <v>240</v>
      </c>
      <c r="M59">
        <v>102</v>
      </c>
      <c r="N59">
        <v>102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102</v>
      </c>
      <c r="Z59">
        <v>0</v>
      </c>
      <c r="AA59">
        <v>0</v>
      </c>
      <c r="AB59">
        <v>102</v>
      </c>
      <c r="AC59">
        <v>6</v>
      </c>
      <c r="AD59">
        <v>96</v>
      </c>
      <c r="AE59">
        <v>5</v>
      </c>
      <c r="AF59">
        <v>2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1</v>
      </c>
      <c r="AM59">
        <v>0</v>
      </c>
      <c r="AN59">
        <v>1</v>
      </c>
      <c r="AO59">
        <v>0</v>
      </c>
      <c r="AP59">
        <v>5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9</v>
      </c>
      <c r="BD59">
        <v>2</v>
      </c>
      <c r="BE59">
        <v>1</v>
      </c>
      <c r="BF59">
        <v>1</v>
      </c>
      <c r="BG59">
        <v>0</v>
      </c>
      <c r="BH59">
        <v>0</v>
      </c>
      <c r="BI59">
        <v>0</v>
      </c>
      <c r="BJ59">
        <v>4</v>
      </c>
      <c r="BK59">
        <v>0</v>
      </c>
      <c r="BL59">
        <v>0</v>
      </c>
      <c r="BM59">
        <v>1</v>
      </c>
      <c r="BN59">
        <v>9</v>
      </c>
      <c r="BO59">
        <v>41</v>
      </c>
      <c r="BP59">
        <v>30</v>
      </c>
      <c r="BQ59">
        <v>3</v>
      </c>
      <c r="BR59">
        <v>0</v>
      </c>
      <c r="BS59">
        <v>5</v>
      </c>
      <c r="BT59">
        <v>0</v>
      </c>
      <c r="BU59">
        <v>0</v>
      </c>
      <c r="BV59">
        <v>2</v>
      </c>
      <c r="BW59">
        <v>1</v>
      </c>
      <c r="BX59">
        <v>0</v>
      </c>
      <c r="BY59">
        <v>0</v>
      </c>
      <c r="BZ59">
        <v>41</v>
      </c>
      <c r="CA59">
        <v>3</v>
      </c>
      <c r="CB59">
        <v>1</v>
      </c>
      <c r="CC59">
        <v>1</v>
      </c>
      <c r="CD59">
        <v>1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3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5</v>
      </c>
      <c r="CZ59">
        <v>3</v>
      </c>
      <c r="DA59">
        <v>0</v>
      </c>
      <c r="DB59">
        <v>0</v>
      </c>
      <c r="DC59">
        <v>0</v>
      </c>
      <c r="DD59">
        <v>0</v>
      </c>
      <c r="DE59">
        <v>1</v>
      </c>
      <c r="DF59">
        <v>0</v>
      </c>
      <c r="DG59">
        <v>0</v>
      </c>
      <c r="DH59">
        <v>0</v>
      </c>
      <c r="DI59">
        <v>1</v>
      </c>
      <c r="DJ59">
        <v>5</v>
      </c>
      <c r="DK59">
        <v>9</v>
      </c>
      <c r="DL59">
        <v>4</v>
      </c>
      <c r="DM59">
        <v>4</v>
      </c>
      <c r="DN59">
        <v>0</v>
      </c>
      <c r="DO59">
        <v>0</v>
      </c>
      <c r="DP59">
        <v>0</v>
      </c>
      <c r="DQ59">
        <v>0</v>
      </c>
      <c r="DR59">
        <v>1</v>
      </c>
      <c r="DS59">
        <v>0</v>
      </c>
      <c r="DT59">
        <v>0</v>
      </c>
      <c r="DU59">
        <v>0</v>
      </c>
      <c r="DV59">
        <v>9</v>
      </c>
      <c r="DW59">
        <v>22</v>
      </c>
      <c r="DX59">
        <v>11</v>
      </c>
      <c r="DY59">
        <v>9</v>
      </c>
      <c r="DZ59">
        <v>0</v>
      </c>
      <c r="EA59">
        <v>0</v>
      </c>
      <c r="EB59">
        <v>1</v>
      </c>
      <c r="EC59">
        <v>0</v>
      </c>
      <c r="ED59">
        <v>0</v>
      </c>
      <c r="EE59">
        <v>0</v>
      </c>
      <c r="EF59">
        <v>1</v>
      </c>
      <c r="EG59">
        <v>0</v>
      </c>
      <c r="EH59">
        <v>22</v>
      </c>
      <c r="EI59">
        <v>1</v>
      </c>
      <c r="EJ59">
        <v>0</v>
      </c>
      <c r="EK59">
        <v>1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1</v>
      </c>
      <c r="ES59">
        <v>1</v>
      </c>
      <c r="ET59">
        <v>1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1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</row>
    <row r="60" spans="1:172" ht="14.25">
      <c r="A60">
        <v>55</v>
      </c>
      <c r="B60" t="str">
        <f>"100106"</f>
        <v>100106</v>
      </c>
      <c r="C60" t="str">
        <f>"Rusiec"</f>
        <v>Rusiec</v>
      </c>
      <c r="D60" t="str">
        <f t="shared" si="6"/>
        <v>bełchatowski</v>
      </c>
      <c r="E60" t="str">
        <f t="shared" si="3"/>
        <v>łódzkie</v>
      </c>
      <c r="F60">
        <v>5</v>
      </c>
      <c r="G60" t="str">
        <f>"Budynek byłej Szkoły Podstawowej w Dąbrówkach Kobylańskich, Dąbrówki Kobylańskie 28, 97-438 Rusiec"</f>
        <v>Budynek byłej Szkoły Podstawowej w Dąbrówkach Kobylańskich, Dąbrówki Kobylańskie 28, 97-438 Rusiec</v>
      </c>
      <c r="H60">
        <v>646</v>
      </c>
      <c r="I60">
        <v>646</v>
      </c>
      <c r="J60">
        <v>0</v>
      </c>
      <c r="K60">
        <v>460</v>
      </c>
      <c r="L60">
        <v>338</v>
      </c>
      <c r="M60">
        <v>122</v>
      </c>
      <c r="N60">
        <v>122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122</v>
      </c>
      <c r="Z60">
        <v>0</v>
      </c>
      <c r="AA60">
        <v>0</v>
      </c>
      <c r="AB60">
        <v>122</v>
      </c>
      <c r="AC60">
        <v>5</v>
      </c>
      <c r="AD60">
        <v>117</v>
      </c>
      <c r="AE60">
        <v>3</v>
      </c>
      <c r="AF60">
        <v>2</v>
      </c>
      <c r="AG60">
        <v>0</v>
      </c>
      <c r="AH60">
        <v>1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3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2</v>
      </c>
      <c r="BD60">
        <v>0</v>
      </c>
      <c r="BE60">
        <v>0</v>
      </c>
      <c r="BF60">
        <v>2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2</v>
      </c>
      <c r="BO60">
        <v>51</v>
      </c>
      <c r="BP60">
        <v>49</v>
      </c>
      <c r="BQ60">
        <v>1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1</v>
      </c>
      <c r="BX60">
        <v>0</v>
      </c>
      <c r="BY60">
        <v>0</v>
      </c>
      <c r="BZ60">
        <v>51</v>
      </c>
      <c r="CA60">
        <v>1</v>
      </c>
      <c r="CB60">
        <v>1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</v>
      </c>
      <c r="CM60">
        <v>2</v>
      </c>
      <c r="CN60">
        <v>1</v>
      </c>
      <c r="CO60">
        <v>1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2</v>
      </c>
      <c r="CY60">
        <v>2</v>
      </c>
      <c r="CZ60">
        <v>1</v>
      </c>
      <c r="DA60">
        <v>1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2</v>
      </c>
      <c r="DK60">
        <v>3</v>
      </c>
      <c r="DL60">
        <v>3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3</v>
      </c>
      <c r="DW60">
        <v>53</v>
      </c>
      <c r="DX60">
        <v>29</v>
      </c>
      <c r="DY60">
        <v>23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1</v>
      </c>
      <c r="EG60">
        <v>0</v>
      </c>
      <c r="EH60">
        <v>53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</row>
    <row r="61" spans="1:172" ht="14.25">
      <c r="A61">
        <v>56</v>
      </c>
      <c r="B61" t="str">
        <f aca="true" t="shared" si="9" ref="B61:B67">"100107"</f>
        <v>100107</v>
      </c>
      <c r="C61" t="str">
        <f aca="true" t="shared" si="10" ref="C61:C67">"Szczerców"</f>
        <v>Szczerców</v>
      </c>
      <c r="D61" t="str">
        <f t="shared" si="6"/>
        <v>bełchatowski</v>
      </c>
      <c r="E61" t="str">
        <f t="shared" si="3"/>
        <v>łódzkie</v>
      </c>
      <c r="F61">
        <v>1</v>
      </c>
      <c r="G61" t="str">
        <f>"Szkoła Podstawowa w Lubcu, Lubiec 61, 97-420 Szczerców"</f>
        <v>Szkoła Podstawowa w Lubcu, Lubiec 61, 97-420 Szczerców</v>
      </c>
      <c r="H61">
        <v>442</v>
      </c>
      <c r="I61">
        <v>442</v>
      </c>
      <c r="J61">
        <v>0</v>
      </c>
      <c r="K61">
        <v>310</v>
      </c>
      <c r="L61">
        <v>220</v>
      </c>
      <c r="M61">
        <v>90</v>
      </c>
      <c r="N61">
        <v>90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90</v>
      </c>
      <c r="Z61">
        <v>0</v>
      </c>
      <c r="AA61">
        <v>0</v>
      </c>
      <c r="AB61">
        <v>90</v>
      </c>
      <c r="AC61">
        <v>4</v>
      </c>
      <c r="AD61">
        <v>86</v>
      </c>
      <c r="AE61">
        <v>2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0</v>
      </c>
      <c r="AO61">
        <v>0</v>
      </c>
      <c r="AP61">
        <v>2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8</v>
      </c>
      <c r="BD61">
        <v>3</v>
      </c>
      <c r="BE61">
        <v>1</v>
      </c>
      <c r="BF61">
        <v>0</v>
      </c>
      <c r="BG61">
        <v>0</v>
      </c>
      <c r="BH61">
        <v>0</v>
      </c>
      <c r="BI61">
        <v>0</v>
      </c>
      <c r="BJ61">
        <v>4</v>
      </c>
      <c r="BK61">
        <v>0</v>
      </c>
      <c r="BL61">
        <v>0</v>
      </c>
      <c r="BM61">
        <v>0</v>
      </c>
      <c r="BN61">
        <v>8</v>
      </c>
      <c r="BO61">
        <v>38</v>
      </c>
      <c r="BP61">
        <v>26</v>
      </c>
      <c r="BQ61">
        <v>6</v>
      </c>
      <c r="BR61">
        <v>1</v>
      </c>
      <c r="BS61">
        <v>1</v>
      </c>
      <c r="BT61">
        <v>0</v>
      </c>
      <c r="BU61">
        <v>1</v>
      </c>
      <c r="BV61">
        <v>2</v>
      </c>
      <c r="BW61">
        <v>0</v>
      </c>
      <c r="BX61">
        <v>1</v>
      </c>
      <c r="BY61">
        <v>0</v>
      </c>
      <c r="BZ61">
        <v>38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1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1</v>
      </c>
      <c r="CW61">
        <v>0</v>
      </c>
      <c r="CX61">
        <v>1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15</v>
      </c>
      <c r="DL61">
        <v>4</v>
      </c>
      <c r="DM61">
        <v>1</v>
      </c>
      <c r="DN61">
        <v>6</v>
      </c>
      <c r="DO61">
        <v>1</v>
      </c>
      <c r="DP61">
        <v>2</v>
      </c>
      <c r="DQ61">
        <v>0</v>
      </c>
      <c r="DR61">
        <v>1</v>
      </c>
      <c r="DS61">
        <v>0</v>
      </c>
      <c r="DT61">
        <v>0</v>
      </c>
      <c r="DU61">
        <v>0</v>
      </c>
      <c r="DV61">
        <v>15</v>
      </c>
      <c r="DW61">
        <v>13</v>
      </c>
      <c r="DX61">
        <v>6</v>
      </c>
      <c r="DY61">
        <v>5</v>
      </c>
      <c r="DZ61">
        <v>0</v>
      </c>
      <c r="EA61">
        <v>0</v>
      </c>
      <c r="EB61">
        <v>1</v>
      </c>
      <c r="EC61">
        <v>0</v>
      </c>
      <c r="ED61">
        <v>1</v>
      </c>
      <c r="EE61">
        <v>0</v>
      </c>
      <c r="EF61">
        <v>0</v>
      </c>
      <c r="EG61">
        <v>0</v>
      </c>
      <c r="EH61">
        <v>13</v>
      </c>
      <c r="EI61">
        <v>1</v>
      </c>
      <c r="EJ61">
        <v>0</v>
      </c>
      <c r="EK61">
        <v>1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1</v>
      </c>
      <c r="ES61">
        <v>8</v>
      </c>
      <c r="ET61">
        <v>8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8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</row>
    <row r="62" spans="1:172" ht="14.25">
      <c r="A62">
        <v>57</v>
      </c>
      <c r="B62" t="str">
        <f t="shared" si="9"/>
        <v>100107</v>
      </c>
      <c r="C62" t="str">
        <f t="shared" si="10"/>
        <v>Szczerców</v>
      </c>
      <c r="D62" t="str">
        <f t="shared" si="6"/>
        <v>bełchatowski</v>
      </c>
      <c r="E62" t="str">
        <f t="shared" si="3"/>
        <v>łódzkie</v>
      </c>
      <c r="F62">
        <v>2</v>
      </c>
      <c r="G62" t="str">
        <f>"Zespół Szkół Ponadgimnazjalnych w Szczercowie, ul. J. Piłsudskiego 66, 97-420 Szczerców"</f>
        <v>Zespół Szkół Ponadgimnazjalnych w Szczercowie, ul. J. Piłsudskiego 66, 97-420 Szczerców</v>
      </c>
      <c r="H62">
        <v>889</v>
      </c>
      <c r="I62">
        <v>889</v>
      </c>
      <c r="J62">
        <v>0</v>
      </c>
      <c r="K62">
        <v>630</v>
      </c>
      <c r="L62">
        <v>510</v>
      </c>
      <c r="M62">
        <v>120</v>
      </c>
      <c r="N62">
        <v>120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120</v>
      </c>
      <c r="Z62">
        <v>0</v>
      </c>
      <c r="AA62">
        <v>0</v>
      </c>
      <c r="AB62">
        <v>120</v>
      </c>
      <c r="AC62">
        <v>2</v>
      </c>
      <c r="AD62">
        <v>118</v>
      </c>
      <c r="AE62">
        <v>2</v>
      </c>
      <c r="AF62">
        <v>0</v>
      </c>
      <c r="AG62">
        <v>1</v>
      </c>
      <c r="AH62">
        <v>0</v>
      </c>
      <c r="AI62">
        <v>1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2</v>
      </c>
      <c r="AQ62">
        <v>1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1</v>
      </c>
      <c r="BA62">
        <v>0</v>
      </c>
      <c r="BB62">
        <v>1</v>
      </c>
      <c r="BC62">
        <v>5</v>
      </c>
      <c r="BD62">
        <v>0</v>
      </c>
      <c r="BE62">
        <v>0</v>
      </c>
      <c r="BF62">
        <v>1</v>
      </c>
      <c r="BG62">
        <v>0</v>
      </c>
      <c r="BH62">
        <v>0</v>
      </c>
      <c r="BI62">
        <v>0</v>
      </c>
      <c r="BJ62">
        <v>2</v>
      </c>
      <c r="BK62">
        <v>0</v>
      </c>
      <c r="BL62">
        <v>0</v>
      </c>
      <c r="BM62">
        <v>2</v>
      </c>
      <c r="BN62">
        <v>5</v>
      </c>
      <c r="BO62">
        <v>57</v>
      </c>
      <c r="BP62">
        <v>45</v>
      </c>
      <c r="BQ62">
        <v>0</v>
      </c>
      <c r="BR62">
        <v>1</v>
      </c>
      <c r="BS62">
        <v>4</v>
      </c>
      <c r="BT62">
        <v>1</v>
      </c>
      <c r="BU62">
        <v>1</v>
      </c>
      <c r="BV62">
        <v>2</v>
      </c>
      <c r="BW62">
        <v>1</v>
      </c>
      <c r="BX62">
        <v>0</v>
      </c>
      <c r="BY62">
        <v>2</v>
      </c>
      <c r="BZ62">
        <v>57</v>
      </c>
      <c r="CA62">
        <v>4</v>
      </c>
      <c r="CB62">
        <v>2</v>
      </c>
      <c r="CC62">
        <v>0</v>
      </c>
      <c r="CD62">
        <v>0</v>
      </c>
      <c r="CE62">
        <v>0</v>
      </c>
      <c r="CF62">
        <v>0</v>
      </c>
      <c r="CG62">
        <v>1</v>
      </c>
      <c r="CH62">
        <v>0</v>
      </c>
      <c r="CI62">
        <v>0</v>
      </c>
      <c r="CJ62">
        <v>0</v>
      </c>
      <c r="CK62">
        <v>1</v>
      </c>
      <c r="CL62">
        <v>4</v>
      </c>
      <c r="CM62">
        <v>7</v>
      </c>
      <c r="CN62">
        <v>4</v>
      </c>
      <c r="CO62">
        <v>1</v>
      </c>
      <c r="CP62">
        <v>1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1</v>
      </c>
      <c r="CW62">
        <v>0</v>
      </c>
      <c r="CX62">
        <v>7</v>
      </c>
      <c r="CY62">
        <v>6</v>
      </c>
      <c r="CZ62">
        <v>3</v>
      </c>
      <c r="DA62">
        <v>1</v>
      </c>
      <c r="DB62">
        <v>2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6</v>
      </c>
      <c r="DK62">
        <v>19</v>
      </c>
      <c r="DL62">
        <v>8</v>
      </c>
      <c r="DM62">
        <v>2</v>
      </c>
      <c r="DN62">
        <v>0</v>
      </c>
      <c r="DO62">
        <v>1</v>
      </c>
      <c r="DP62">
        <v>1</v>
      </c>
      <c r="DQ62">
        <v>2</v>
      </c>
      <c r="DR62">
        <v>5</v>
      </c>
      <c r="DS62">
        <v>0</v>
      </c>
      <c r="DT62">
        <v>0</v>
      </c>
      <c r="DU62">
        <v>0</v>
      </c>
      <c r="DV62">
        <v>19</v>
      </c>
      <c r="DW62">
        <v>14</v>
      </c>
      <c r="DX62">
        <v>4</v>
      </c>
      <c r="DY62">
        <v>9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1</v>
      </c>
      <c r="EH62">
        <v>14</v>
      </c>
      <c r="EI62">
        <v>1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1</v>
      </c>
      <c r="EQ62">
        <v>0</v>
      </c>
      <c r="ER62">
        <v>1</v>
      </c>
      <c r="ES62">
        <v>1</v>
      </c>
      <c r="ET62">
        <v>1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1</v>
      </c>
      <c r="FE62">
        <v>1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1</v>
      </c>
      <c r="FM62">
        <v>0</v>
      </c>
      <c r="FN62">
        <v>0</v>
      </c>
      <c r="FO62">
        <v>0</v>
      </c>
      <c r="FP62">
        <v>1</v>
      </c>
    </row>
    <row r="63" spans="1:172" ht="14.25">
      <c r="A63">
        <v>58</v>
      </c>
      <c r="B63" t="str">
        <f t="shared" si="9"/>
        <v>100107</v>
      </c>
      <c r="C63" t="str">
        <f t="shared" si="10"/>
        <v>Szczerców</v>
      </c>
      <c r="D63" t="str">
        <f t="shared" si="6"/>
        <v>bełchatowski</v>
      </c>
      <c r="E63" t="str">
        <f t="shared" si="3"/>
        <v>łódzkie</v>
      </c>
      <c r="F63">
        <v>3</v>
      </c>
      <c r="G63" t="str">
        <f>"Zespół Szkolno-Przedszkolny w Szczercowie, ul. Łaska 8, 97-420 Szczerców"</f>
        <v>Zespół Szkolno-Przedszkolny w Szczercowie, ul. Łaska 8, 97-420 Szczerców</v>
      </c>
      <c r="H63">
        <v>1184</v>
      </c>
      <c r="I63">
        <v>1184</v>
      </c>
      <c r="J63">
        <v>0</v>
      </c>
      <c r="K63">
        <v>831</v>
      </c>
      <c r="L63">
        <v>514</v>
      </c>
      <c r="M63">
        <v>317</v>
      </c>
      <c r="N63">
        <v>317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317</v>
      </c>
      <c r="Z63">
        <v>0</v>
      </c>
      <c r="AA63">
        <v>0</v>
      </c>
      <c r="AB63">
        <v>317</v>
      </c>
      <c r="AC63">
        <v>5</v>
      </c>
      <c r="AD63">
        <v>312</v>
      </c>
      <c r="AE63">
        <v>19</v>
      </c>
      <c r="AF63">
        <v>6</v>
      </c>
      <c r="AG63">
        <v>4</v>
      </c>
      <c r="AH63">
        <v>0</v>
      </c>
      <c r="AI63">
        <v>0</v>
      </c>
      <c r="AJ63">
        <v>0</v>
      </c>
      <c r="AK63">
        <v>1</v>
      </c>
      <c r="AL63">
        <v>1</v>
      </c>
      <c r="AM63">
        <v>2</v>
      </c>
      <c r="AN63">
        <v>0</v>
      </c>
      <c r="AO63">
        <v>5</v>
      </c>
      <c r="AP63">
        <v>19</v>
      </c>
      <c r="AQ63">
        <v>4</v>
      </c>
      <c r="AR63">
        <v>2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2</v>
      </c>
      <c r="BA63">
        <v>0</v>
      </c>
      <c r="BB63">
        <v>4</v>
      </c>
      <c r="BC63">
        <v>25</v>
      </c>
      <c r="BD63">
        <v>6</v>
      </c>
      <c r="BE63">
        <v>0</v>
      </c>
      <c r="BF63">
        <v>0</v>
      </c>
      <c r="BG63">
        <v>0</v>
      </c>
      <c r="BH63">
        <v>0</v>
      </c>
      <c r="BI63">
        <v>2</v>
      </c>
      <c r="BJ63">
        <v>16</v>
      </c>
      <c r="BK63">
        <v>0</v>
      </c>
      <c r="BL63">
        <v>0</v>
      </c>
      <c r="BM63">
        <v>1</v>
      </c>
      <c r="BN63">
        <v>25</v>
      </c>
      <c r="BO63">
        <v>149</v>
      </c>
      <c r="BP63">
        <v>118</v>
      </c>
      <c r="BQ63">
        <v>4</v>
      </c>
      <c r="BR63">
        <v>7</v>
      </c>
      <c r="BS63">
        <v>11</v>
      </c>
      <c r="BT63">
        <v>0</v>
      </c>
      <c r="BU63">
        <v>5</v>
      </c>
      <c r="BV63">
        <v>1</v>
      </c>
      <c r="BW63">
        <v>1</v>
      </c>
      <c r="BX63">
        <v>0</v>
      </c>
      <c r="BY63">
        <v>2</v>
      </c>
      <c r="BZ63">
        <v>149</v>
      </c>
      <c r="CA63">
        <v>3</v>
      </c>
      <c r="CB63">
        <v>0</v>
      </c>
      <c r="CC63">
        <v>2</v>
      </c>
      <c r="CD63">
        <v>1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3</v>
      </c>
      <c r="CM63">
        <v>16</v>
      </c>
      <c r="CN63">
        <v>11</v>
      </c>
      <c r="CO63">
        <v>1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4</v>
      </c>
      <c r="CX63">
        <v>16</v>
      </c>
      <c r="CY63">
        <v>15</v>
      </c>
      <c r="CZ63">
        <v>11</v>
      </c>
      <c r="DA63">
        <v>1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3</v>
      </c>
      <c r="DH63">
        <v>0</v>
      </c>
      <c r="DI63">
        <v>0</v>
      </c>
      <c r="DJ63">
        <v>15</v>
      </c>
      <c r="DK63">
        <v>65</v>
      </c>
      <c r="DL63">
        <v>37</v>
      </c>
      <c r="DM63">
        <v>3</v>
      </c>
      <c r="DN63">
        <v>1</v>
      </c>
      <c r="DO63">
        <v>0</v>
      </c>
      <c r="DP63">
        <v>3</v>
      </c>
      <c r="DQ63">
        <v>2</v>
      </c>
      <c r="DR63">
        <v>16</v>
      </c>
      <c r="DS63">
        <v>1</v>
      </c>
      <c r="DT63">
        <v>2</v>
      </c>
      <c r="DU63">
        <v>0</v>
      </c>
      <c r="DV63">
        <v>65</v>
      </c>
      <c r="DW63">
        <v>12</v>
      </c>
      <c r="DX63">
        <v>2</v>
      </c>
      <c r="DY63">
        <v>4</v>
      </c>
      <c r="DZ63">
        <v>0</v>
      </c>
      <c r="EA63">
        <v>0</v>
      </c>
      <c r="EB63">
        <v>6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12</v>
      </c>
      <c r="EI63">
        <v>2</v>
      </c>
      <c r="EJ63">
        <v>0</v>
      </c>
      <c r="EK63">
        <v>1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1</v>
      </c>
      <c r="ER63">
        <v>2</v>
      </c>
      <c r="ES63">
        <v>2</v>
      </c>
      <c r="ET63">
        <v>2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2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</row>
    <row r="64" spans="1:172" ht="14.25">
      <c r="A64">
        <v>59</v>
      </c>
      <c r="B64" t="str">
        <f t="shared" si="9"/>
        <v>100107</v>
      </c>
      <c r="C64" t="str">
        <f t="shared" si="10"/>
        <v>Szczerców</v>
      </c>
      <c r="D64" t="str">
        <f t="shared" si="6"/>
        <v>bełchatowski</v>
      </c>
      <c r="E64" t="str">
        <f t="shared" si="3"/>
        <v>łódzkie</v>
      </c>
      <c r="F64">
        <v>4</v>
      </c>
      <c r="G64" t="str">
        <f>"Urząd Gminy w Szczercowie, ul. Pułaskiego 8, 97-420 Szczerców"</f>
        <v>Urząd Gminy w Szczercowie, ul. Pułaskiego 8, 97-420 Szczerców</v>
      </c>
      <c r="H64">
        <v>1230</v>
      </c>
      <c r="I64">
        <v>1230</v>
      </c>
      <c r="J64">
        <v>0</v>
      </c>
      <c r="K64">
        <v>870</v>
      </c>
      <c r="L64">
        <v>540</v>
      </c>
      <c r="M64">
        <v>330</v>
      </c>
      <c r="N64">
        <v>330</v>
      </c>
      <c r="O64">
        <v>0</v>
      </c>
      <c r="P64">
        <v>0</v>
      </c>
      <c r="Q64">
        <v>4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330</v>
      </c>
      <c r="Z64">
        <v>0</v>
      </c>
      <c r="AA64">
        <v>0</v>
      </c>
      <c r="AB64">
        <v>330</v>
      </c>
      <c r="AC64">
        <v>14</v>
      </c>
      <c r="AD64">
        <v>316</v>
      </c>
      <c r="AE64">
        <v>6</v>
      </c>
      <c r="AF64">
        <v>1</v>
      </c>
      <c r="AG64">
        <v>1</v>
      </c>
      <c r="AH64">
        <v>0</v>
      </c>
      <c r="AI64">
        <v>1</v>
      </c>
      <c r="AJ64">
        <v>0</v>
      </c>
      <c r="AK64">
        <v>0</v>
      </c>
      <c r="AL64">
        <v>1</v>
      </c>
      <c r="AM64">
        <v>2</v>
      </c>
      <c r="AN64">
        <v>0</v>
      </c>
      <c r="AO64">
        <v>0</v>
      </c>
      <c r="AP64">
        <v>6</v>
      </c>
      <c r="AQ64">
        <v>5</v>
      </c>
      <c r="AR64">
        <v>4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1</v>
      </c>
      <c r="AY64">
        <v>0</v>
      </c>
      <c r="AZ64">
        <v>0</v>
      </c>
      <c r="BA64">
        <v>0</v>
      </c>
      <c r="BB64">
        <v>5</v>
      </c>
      <c r="BC64">
        <v>31</v>
      </c>
      <c r="BD64">
        <v>10</v>
      </c>
      <c r="BE64">
        <v>1</v>
      </c>
      <c r="BF64">
        <v>0</v>
      </c>
      <c r="BG64">
        <v>0</v>
      </c>
      <c r="BH64">
        <v>0</v>
      </c>
      <c r="BI64">
        <v>1</v>
      </c>
      <c r="BJ64">
        <v>17</v>
      </c>
      <c r="BK64">
        <v>0</v>
      </c>
      <c r="BL64">
        <v>1</v>
      </c>
      <c r="BM64">
        <v>1</v>
      </c>
      <c r="BN64">
        <v>31</v>
      </c>
      <c r="BO64">
        <v>161</v>
      </c>
      <c r="BP64">
        <v>132</v>
      </c>
      <c r="BQ64">
        <v>8</v>
      </c>
      <c r="BR64">
        <v>7</v>
      </c>
      <c r="BS64">
        <v>5</v>
      </c>
      <c r="BT64">
        <v>0</v>
      </c>
      <c r="BU64">
        <v>2</v>
      </c>
      <c r="BV64">
        <v>1</v>
      </c>
      <c r="BW64">
        <v>3</v>
      </c>
      <c r="BX64">
        <v>3</v>
      </c>
      <c r="BY64">
        <v>0</v>
      </c>
      <c r="BZ64">
        <v>161</v>
      </c>
      <c r="CA64">
        <v>2</v>
      </c>
      <c r="CB64">
        <v>0</v>
      </c>
      <c r="CC64">
        <v>2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</v>
      </c>
      <c r="CM64">
        <v>2</v>
      </c>
      <c r="CN64">
        <v>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2</v>
      </c>
      <c r="CY64">
        <v>31</v>
      </c>
      <c r="CZ64">
        <v>23</v>
      </c>
      <c r="DA64">
        <v>1</v>
      </c>
      <c r="DB64">
        <v>0</v>
      </c>
      <c r="DC64">
        <v>1</v>
      </c>
      <c r="DD64">
        <v>2</v>
      </c>
      <c r="DE64">
        <v>1</v>
      </c>
      <c r="DF64">
        <v>1</v>
      </c>
      <c r="DG64">
        <v>0</v>
      </c>
      <c r="DH64">
        <v>2</v>
      </c>
      <c r="DI64">
        <v>0</v>
      </c>
      <c r="DJ64">
        <v>31</v>
      </c>
      <c r="DK64">
        <v>67</v>
      </c>
      <c r="DL64">
        <v>28</v>
      </c>
      <c r="DM64">
        <v>8</v>
      </c>
      <c r="DN64">
        <v>0</v>
      </c>
      <c r="DO64">
        <v>2</v>
      </c>
      <c r="DP64">
        <v>3</v>
      </c>
      <c r="DQ64">
        <v>3</v>
      </c>
      <c r="DR64">
        <v>15</v>
      </c>
      <c r="DS64">
        <v>0</v>
      </c>
      <c r="DT64">
        <v>1</v>
      </c>
      <c r="DU64">
        <v>7</v>
      </c>
      <c r="DV64">
        <v>67</v>
      </c>
      <c r="DW64">
        <v>10</v>
      </c>
      <c r="DX64">
        <v>6</v>
      </c>
      <c r="DY64">
        <v>2</v>
      </c>
      <c r="DZ64">
        <v>1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1</v>
      </c>
      <c r="EH64">
        <v>10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1</v>
      </c>
      <c r="FF64">
        <v>0</v>
      </c>
      <c r="FG64">
        <v>1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1</v>
      </c>
    </row>
    <row r="65" spans="1:172" ht="14.25">
      <c r="A65">
        <v>60</v>
      </c>
      <c r="B65" t="str">
        <f t="shared" si="9"/>
        <v>100107</v>
      </c>
      <c r="C65" t="str">
        <f t="shared" si="10"/>
        <v>Szczerców</v>
      </c>
      <c r="D65" t="str">
        <f t="shared" si="6"/>
        <v>bełchatowski</v>
      </c>
      <c r="E65" t="str">
        <f t="shared" si="3"/>
        <v>łódzkie</v>
      </c>
      <c r="F65">
        <v>5</v>
      </c>
      <c r="G65" t="str">
        <f>"Publiczne Gimnazjum im. Jana Pawła II w Szczercowie, ul. Rzeczna 7, 97-420 Szczerców"</f>
        <v>Publiczne Gimnazjum im. Jana Pawła II w Szczercowie, ul. Rzeczna 7, 97-420 Szczerców</v>
      </c>
      <c r="H65">
        <v>1305</v>
      </c>
      <c r="I65">
        <v>1305</v>
      </c>
      <c r="J65">
        <v>0</v>
      </c>
      <c r="K65">
        <v>920</v>
      </c>
      <c r="L65">
        <v>685</v>
      </c>
      <c r="M65">
        <v>235</v>
      </c>
      <c r="N65">
        <v>235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235</v>
      </c>
      <c r="Z65">
        <v>0</v>
      </c>
      <c r="AA65">
        <v>0</v>
      </c>
      <c r="AB65">
        <v>235</v>
      </c>
      <c r="AC65">
        <v>6</v>
      </c>
      <c r="AD65">
        <v>229</v>
      </c>
      <c r="AE65">
        <v>9</v>
      </c>
      <c r="AF65">
        <v>6</v>
      </c>
      <c r="AG65">
        <v>0</v>
      </c>
      <c r="AH65">
        <v>0</v>
      </c>
      <c r="AI65">
        <v>0</v>
      </c>
      <c r="AJ65">
        <v>1</v>
      </c>
      <c r="AK65">
        <v>1</v>
      </c>
      <c r="AL65">
        <v>1</v>
      </c>
      <c r="AM65">
        <v>0</v>
      </c>
      <c r="AN65">
        <v>0</v>
      </c>
      <c r="AO65">
        <v>0</v>
      </c>
      <c r="AP65">
        <v>9</v>
      </c>
      <c r="AQ65">
        <v>5</v>
      </c>
      <c r="AR65">
        <v>3</v>
      </c>
      <c r="AS65">
        <v>0</v>
      </c>
      <c r="AT65">
        <v>0</v>
      </c>
      <c r="AU65">
        <v>0</v>
      </c>
      <c r="AV65">
        <v>1</v>
      </c>
      <c r="AW65">
        <v>1</v>
      </c>
      <c r="AX65">
        <v>0</v>
      </c>
      <c r="AY65">
        <v>0</v>
      </c>
      <c r="AZ65">
        <v>0</v>
      </c>
      <c r="BA65">
        <v>0</v>
      </c>
      <c r="BB65">
        <v>5</v>
      </c>
      <c r="BC65">
        <v>16</v>
      </c>
      <c r="BD65">
        <v>1</v>
      </c>
      <c r="BE65">
        <v>0</v>
      </c>
      <c r="BF65">
        <v>3</v>
      </c>
      <c r="BG65">
        <v>0</v>
      </c>
      <c r="BH65">
        <v>0</v>
      </c>
      <c r="BI65">
        <v>3</v>
      </c>
      <c r="BJ65">
        <v>8</v>
      </c>
      <c r="BK65">
        <v>0</v>
      </c>
      <c r="BL65">
        <v>1</v>
      </c>
      <c r="BM65">
        <v>0</v>
      </c>
      <c r="BN65">
        <v>16</v>
      </c>
      <c r="BO65">
        <v>134</v>
      </c>
      <c r="BP65">
        <v>95</v>
      </c>
      <c r="BQ65">
        <v>8</v>
      </c>
      <c r="BR65">
        <v>3</v>
      </c>
      <c r="BS65">
        <v>7</v>
      </c>
      <c r="BT65">
        <v>0</v>
      </c>
      <c r="BU65">
        <v>1</v>
      </c>
      <c r="BV65">
        <v>4</v>
      </c>
      <c r="BW65">
        <v>3</v>
      </c>
      <c r="BX65">
        <v>9</v>
      </c>
      <c r="BY65">
        <v>4</v>
      </c>
      <c r="BZ65">
        <v>134</v>
      </c>
      <c r="CA65">
        <v>4</v>
      </c>
      <c r="CB65">
        <v>1</v>
      </c>
      <c r="CC65">
        <v>1</v>
      </c>
      <c r="CD65">
        <v>1</v>
      </c>
      <c r="CE65">
        <v>1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4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19</v>
      </c>
      <c r="CZ65">
        <v>11</v>
      </c>
      <c r="DA65">
        <v>2</v>
      </c>
      <c r="DB65">
        <v>0</v>
      </c>
      <c r="DC65">
        <v>3</v>
      </c>
      <c r="DD65">
        <v>2</v>
      </c>
      <c r="DE65">
        <v>0</v>
      </c>
      <c r="DF65">
        <v>0</v>
      </c>
      <c r="DG65">
        <v>1</v>
      </c>
      <c r="DH65">
        <v>0</v>
      </c>
      <c r="DI65">
        <v>0</v>
      </c>
      <c r="DJ65">
        <v>19</v>
      </c>
      <c r="DK65">
        <v>23</v>
      </c>
      <c r="DL65">
        <v>10</v>
      </c>
      <c r="DM65">
        <v>4</v>
      </c>
      <c r="DN65">
        <v>1</v>
      </c>
      <c r="DO65">
        <v>0</v>
      </c>
      <c r="DP65">
        <v>1</v>
      </c>
      <c r="DQ65">
        <v>0</v>
      </c>
      <c r="DR65">
        <v>3</v>
      </c>
      <c r="DS65">
        <v>1</v>
      </c>
      <c r="DT65">
        <v>2</v>
      </c>
      <c r="DU65">
        <v>1</v>
      </c>
      <c r="DV65">
        <v>23</v>
      </c>
      <c r="DW65">
        <v>16</v>
      </c>
      <c r="DX65">
        <v>6</v>
      </c>
      <c r="DY65">
        <v>7</v>
      </c>
      <c r="DZ65">
        <v>0</v>
      </c>
      <c r="EA65">
        <v>1</v>
      </c>
      <c r="EB65">
        <v>0</v>
      </c>
      <c r="EC65">
        <v>0</v>
      </c>
      <c r="ED65">
        <v>2</v>
      </c>
      <c r="EE65">
        <v>0</v>
      </c>
      <c r="EF65">
        <v>0</v>
      </c>
      <c r="EG65">
        <v>0</v>
      </c>
      <c r="EH65">
        <v>16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1</v>
      </c>
      <c r="ET65">
        <v>1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1</v>
      </c>
      <c r="FE65">
        <v>2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2</v>
      </c>
      <c r="FM65">
        <v>0</v>
      </c>
      <c r="FN65">
        <v>0</v>
      </c>
      <c r="FO65">
        <v>0</v>
      </c>
      <c r="FP65">
        <v>2</v>
      </c>
    </row>
    <row r="66" spans="1:172" ht="14.25">
      <c r="A66">
        <v>61</v>
      </c>
      <c r="B66" t="str">
        <f t="shared" si="9"/>
        <v>100107</v>
      </c>
      <c r="C66" t="str">
        <f t="shared" si="10"/>
        <v>Szczerców</v>
      </c>
      <c r="D66" t="str">
        <f t="shared" si="6"/>
        <v>bełchatowski</v>
      </c>
      <c r="E66" t="str">
        <f t="shared" si="3"/>
        <v>łódzkie</v>
      </c>
      <c r="F66">
        <v>6</v>
      </c>
      <c r="G66" t="str">
        <f>"Szkoła Podstawowa w Chabielicach, Chabielice-Kolonia 5, 97-420 Szczerców"</f>
        <v>Szkoła Podstawowa w Chabielicach, Chabielice-Kolonia 5, 97-420 Szczerców</v>
      </c>
      <c r="H66">
        <v>865</v>
      </c>
      <c r="I66">
        <v>865</v>
      </c>
      <c r="J66">
        <v>0</v>
      </c>
      <c r="K66">
        <v>610</v>
      </c>
      <c r="L66">
        <v>432</v>
      </c>
      <c r="M66">
        <v>178</v>
      </c>
      <c r="N66">
        <v>178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178</v>
      </c>
      <c r="Z66">
        <v>0</v>
      </c>
      <c r="AA66">
        <v>0</v>
      </c>
      <c r="AB66">
        <v>178</v>
      </c>
      <c r="AC66">
        <v>6</v>
      </c>
      <c r="AD66">
        <v>172</v>
      </c>
      <c r="AE66">
        <v>5</v>
      </c>
      <c r="AF66">
        <v>1</v>
      </c>
      <c r="AG66">
        <v>1</v>
      </c>
      <c r="AH66">
        <v>0</v>
      </c>
      <c r="AI66">
        <v>0</v>
      </c>
      <c r="AJ66">
        <v>0</v>
      </c>
      <c r="AK66">
        <v>0</v>
      </c>
      <c r="AL66">
        <v>1</v>
      </c>
      <c r="AM66">
        <v>0</v>
      </c>
      <c r="AN66">
        <v>1</v>
      </c>
      <c r="AO66">
        <v>1</v>
      </c>
      <c r="AP66">
        <v>5</v>
      </c>
      <c r="AQ66">
        <v>6</v>
      </c>
      <c r="AR66">
        <v>5</v>
      </c>
      <c r="AS66">
        <v>0</v>
      </c>
      <c r="AT66">
        <v>0</v>
      </c>
      <c r="AU66">
        <v>1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6</v>
      </c>
      <c r="BC66">
        <v>18</v>
      </c>
      <c r="BD66">
        <v>7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9</v>
      </c>
      <c r="BK66">
        <v>0</v>
      </c>
      <c r="BL66">
        <v>2</v>
      </c>
      <c r="BM66">
        <v>0</v>
      </c>
      <c r="BN66">
        <v>18</v>
      </c>
      <c r="BO66">
        <v>95</v>
      </c>
      <c r="BP66">
        <v>74</v>
      </c>
      <c r="BQ66">
        <v>4</v>
      </c>
      <c r="BR66">
        <v>1</v>
      </c>
      <c r="BS66">
        <v>6</v>
      </c>
      <c r="BT66">
        <v>0</v>
      </c>
      <c r="BU66">
        <v>0</v>
      </c>
      <c r="BV66">
        <v>6</v>
      </c>
      <c r="BW66">
        <v>0</v>
      </c>
      <c r="BX66">
        <v>0</v>
      </c>
      <c r="BY66">
        <v>4</v>
      </c>
      <c r="BZ66">
        <v>95</v>
      </c>
      <c r="CA66">
        <v>4</v>
      </c>
      <c r="CB66">
        <v>3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1</v>
      </c>
      <c r="CK66">
        <v>0</v>
      </c>
      <c r="CL66">
        <v>4</v>
      </c>
      <c r="CM66">
        <v>2</v>
      </c>
      <c r="CN66">
        <v>0</v>
      </c>
      <c r="CO66">
        <v>1</v>
      </c>
      <c r="CP66">
        <v>0</v>
      </c>
      <c r="CQ66">
        <v>0</v>
      </c>
      <c r="CR66">
        <v>0</v>
      </c>
      <c r="CS66">
        <v>1</v>
      </c>
      <c r="CT66">
        <v>0</v>
      </c>
      <c r="CU66">
        <v>0</v>
      </c>
      <c r="CV66">
        <v>0</v>
      </c>
      <c r="CW66">
        <v>0</v>
      </c>
      <c r="CX66">
        <v>2</v>
      </c>
      <c r="CY66">
        <v>5</v>
      </c>
      <c r="CZ66">
        <v>4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1</v>
      </c>
      <c r="DH66">
        <v>0</v>
      </c>
      <c r="DI66">
        <v>0</v>
      </c>
      <c r="DJ66">
        <v>5</v>
      </c>
      <c r="DK66">
        <v>11</v>
      </c>
      <c r="DL66">
        <v>8</v>
      </c>
      <c r="DM66">
        <v>1</v>
      </c>
      <c r="DN66">
        <v>0</v>
      </c>
      <c r="DO66">
        <v>0</v>
      </c>
      <c r="DP66">
        <v>0</v>
      </c>
      <c r="DQ66">
        <v>0</v>
      </c>
      <c r="DR66">
        <v>2</v>
      </c>
      <c r="DS66">
        <v>0</v>
      </c>
      <c r="DT66">
        <v>0</v>
      </c>
      <c r="DU66">
        <v>0</v>
      </c>
      <c r="DV66">
        <v>11</v>
      </c>
      <c r="DW66">
        <v>22</v>
      </c>
      <c r="DX66">
        <v>4</v>
      </c>
      <c r="DY66">
        <v>13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</v>
      </c>
      <c r="EF66">
        <v>0</v>
      </c>
      <c r="EG66">
        <v>4</v>
      </c>
      <c r="EH66">
        <v>22</v>
      </c>
      <c r="EI66">
        <v>2</v>
      </c>
      <c r="EJ66">
        <v>1</v>
      </c>
      <c r="EK66">
        <v>1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2</v>
      </c>
      <c r="ES66">
        <v>1</v>
      </c>
      <c r="ET66">
        <v>0</v>
      </c>
      <c r="EU66">
        <v>1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1</v>
      </c>
      <c r="FE66">
        <v>1</v>
      </c>
      <c r="FF66">
        <v>0</v>
      </c>
      <c r="FG66">
        <v>0</v>
      </c>
      <c r="FH66">
        <v>0</v>
      </c>
      <c r="FI66">
        <v>1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1</v>
      </c>
    </row>
    <row r="67" spans="1:172" ht="14.25">
      <c r="A67">
        <v>62</v>
      </c>
      <c r="B67" t="str">
        <f t="shared" si="9"/>
        <v>100107</v>
      </c>
      <c r="C67" t="str">
        <f t="shared" si="10"/>
        <v>Szczerców</v>
      </c>
      <c r="D67" t="str">
        <f t="shared" si="6"/>
        <v>bełchatowski</v>
      </c>
      <c r="E67" t="str">
        <f t="shared" si="3"/>
        <v>łódzkie</v>
      </c>
      <c r="F67">
        <v>7</v>
      </c>
      <c r="G67" t="str">
        <f>"Szkoła Podstawowa w Osinach, Osiny 13, 97-420 Szczerców"</f>
        <v>Szkoła Podstawowa w Osinach, Osiny 13, 97-420 Szczerców</v>
      </c>
      <c r="H67">
        <v>492</v>
      </c>
      <c r="I67">
        <v>492</v>
      </c>
      <c r="J67">
        <v>0</v>
      </c>
      <c r="K67">
        <v>349</v>
      </c>
      <c r="L67">
        <v>211</v>
      </c>
      <c r="M67">
        <v>138</v>
      </c>
      <c r="N67">
        <v>138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138</v>
      </c>
      <c r="Z67">
        <v>0</v>
      </c>
      <c r="AA67">
        <v>0</v>
      </c>
      <c r="AB67">
        <v>138</v>
      </c>
      <c r="AC67">
        <v>7</v>
      </c>
      <c r="AD67">
        <v>131</v>
      </c>
      <c r="AE67">
        <v>12</v>
      </c>
      <c r="AF67">
        <v>5</v>
      </c>
      <c r="AG67">
        <v>0</v>
      </c>
      <c r="AH67">
        <v>1</v>
      </c>
      <c r="AI67">
        <v>0</v>
      </c>
      <c r="AJ67">
        <v>0</v>
      </c>
      <c r="AK67">
        <v>0</v>
      </c>
      <c r="AL67">
        <v>1</v>
      </c>
      <c r="AM67">
        <v>0</v>
      </c>
      <c r="AN67">
        <v>3</v>
      </c>
      <c r="AO67">
        <v>2</v>
      </c>
      <c r="AP67">
        <v>12</v>
      </c>
      <c r="AQ67">
        <v>3</v>
      </c>
      <c r="AR67">
        <v>1</v>
      </c>
      <c r="AS67">
        <v>0</v>
      </c>
      <c r="AT67">
        <v>0</v>
      </c>
      <c r="AU67">
        <v>0</v>
      </c>
      <c r="AV67">
        <v>0</v>
      </c>
      <c r="AW67">
        <v>1</v>
      </c>
      <c r="AX67">
        <v>0</v>
      </c>
      <c r="AY67">
        <v>0</v>
      </c>
      <c r="AZ67">
        <v>0</v>
      </c>
      <c r="BA67">
        <v>1</v>
      </c>
      <c r="BB67">
        <v>3</v>
      </c>
      <c r="BC67">
        <v>11</v>
      </c>
      <c r="BD67">
        <v>1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8</v>
      </c>
      <c r="BK67">
        <v>1</v>
      </c>
      <c r="BL67">
        <v>1</v>
      </c>
      <c r="BM67">
        <v>0</v>
      </c>
      <c r="BN67">
        <v>11</v>
      </c>
      <c r="BO67">
        <v>58</v>
      </c>
      <c r="BP67">
        <v>42</v>
      </c>
      <c r="BQ67">
        <v>3</v>
      </c>
      <c r="BR67">
        <v>2</v>
      </c>
      <c r="BS67">
        <v>5</v>
      </c>
      <c r="BT67">
        <v>1</v>
      </c>
      <c r="BU67">
        <v>1</v>
      </c>
      <c r="BV67">
        <v>1</v>
      </c>
      <c r="BW67">
        <v>0</v>
      </c>
      <c r="BX67">
        <v>1</v>
      </c>
      <c r="BY67">
        <v>2</v>
      </c>
      <c r="BZ67">
        <v>58</v>
      </c>
      <c r="CA67">
        <v>2</v>
      </c>
      <c r="CB67">
        <v>1</v>
      </c>
      <c r="CC67">
        <v>0</v>
      </c>
      <c r="CD67">
        <v>0</v>
      </c>
      <c r="CE67">
        <v>1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</v>
      </c>
      <c r="CM67">
        <v>2</v>
      </c>
      <c r="CN67">
        <v>0</v>
      </c>
      <c r="CO67">
        <v>0</v>
      </c>
      <c r="CP67">
        <v>0</v>
      </c>
      <c r="CQ67">
        <v>2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2</v>
      </c>
      <c r="CY67">
        <v>8</v>
      </c>
      <c r="CZ67">
        <v>5</v>
      </c>
      <c r="DA67">
        <v>0</v>
      </c>
      <c r="DB67">
        <v>2</v>
      </c>
      <c r="DC67">
        <v>1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8</v>
      </c>
      <c r="DK67">
        <v>18</v>
      </c>
      <c r="DL67">
        <v>5</v>
      </c>
      <c r="DM67">
        <v>2</v>
      </c>
      <c r="DN67">
        <v>0</v>
      </c>
      <c r="DO67">
        <v>0</v>
      </c>
      <c r="DP67">
        <v>0</v>
      </c>
      <c r="DQ67">
        <v>0</v>
      </c>
      <c r="DR67">
        <v>9</v>
      </c>
      <c r="DS67">
        <v>0</v>
      </c>
      <c r="DT67">
        <v>1</v>
      </c>
      <c r="DU67">
        <v>1</v>
      </c>
      <c r="DV67">
        <v>18</v>
      </c>
      <c r="DW67">
        <v>10</v>
      </c>
      <c r="DX67">
        <v>1</v>
      </c>
      <c r="DY67">
        <v>7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2</v>
      </c>
      <c r="EF67">
        <v>0</v>
      </c>
      <c r="EG67">
        <v>0</v>
      </c>
      <c r="EH67">
        <v>10</v>
      </c>
      <c r="EI67">
        <v>4</v>
      </c>
      <c r="EJ67">
        <v>0</v>
      </c>
      <c r="EK67">
        <v>4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4</v>
      </c>
      <c r="ES67">
        <v>2</v>
      </c>
      <c r="ET67">
        <v>0</v>
      </c>
      <c r="EU67">
        <v>1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1</v>
      </c>
      <c r="FB67">
        <v>0</v>
      </c>
      <c r="FC67">
        <v>0</v>
      </c>
      <c r="FD67">
        <v>2</v>
      </c>
      <c r="FE67">
        <v>1</v>
      </c>
      <c r="FF67">
        <v>0</v>
      </c>
      <c r="FG67">
        <v>1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1</v>
      </c>
    </row>
    <row r="68" spans="1:172" ht="14.25">
      <c r="A68">
        <v>63</v>
      </c>
      <c r="B68" t="str">
        <f aca="true" t="shared" si="11" ref="B68:B77">"100108"</f>
        <v>100108</v>
      </c>
      <c r="C68" t="str">
        <f aca="true" t="shared" si="12" ref="C68:C77">"Zelów"</f>
        <v>Zelów</v>
      </c>
      <c r="D68" t="str">
        <f t="shared" si="6"/>
        <v>bełchatowski</v>
      </c>
      <c r="E68" t="str">
        <f t="shared" si="3"/>
        <v>łódzkie</v>
      </c>
      <c r="F68">
        <v>1</v>
      </c>
      <c r="G68" t="str">
        <f>"Szkoła Podstawowa, Kociszew 32, 97-425 Zelów"</f>
        <v>Szkoła Podstawowa, Kociszew 32, 97-425 Zelów</v>
      </c>
      <c r="H68">
        <v>839</v>
      </c>
      <c r="I68">
        <v>839</v>
      </c>
      <c r="J68">
        <v>0</v>
      </c>
      <c r="K68">
        <v>588</v>
      </c>
      <c r="L68">
        <v>385</v>
      </c>
      <c r="M68">
        <v>203</v>
      </c>
      <c r="N68">
        <v>203</v>
      </c>
      <c r="O68">
        <v>0</v>
      </c>
      <c r="P68">
        <v>0</v>
      </c>
      <c r="Q68">
        <v>2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203</v>
      </c>
      <c r="Z68">
        <v>0</v>
      </c>
      <c r="AA68">
        <v>0</v>
      </c>
      <c r="AB68">
        <v>203</v>
      </c>
      <c r="AC68">
        <v>9</v>
      </c>
      <c r="AD68">
        <v>194</v>
      </c>
      <c r="AE68">
        <v>8</v>
      </c>
      <c r="AF68">
        <v>3</v>
      </c>
      <c r="AG68">
        <v>0</v>
      </c>
      <c r="AH68">
        <v>3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2</v>
      </c>
      <c r="AP68">
        <v>8</v>
      </c>
      <c r="AQ68">
        <v>1</v>
      </c>
      <c r="AR68">
        <v>1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1</v>
      </c>
      <c r="BC68">
        <v>12</v>
      </c>
      <c r="BD68">
        <v>6</v>
      </c>
      <c r="BE68">
        <v>3</v>
      </c>
      <c r="BF68">
        <v>0</v>
      </c>
      <c r="BG68">
        <v>2</v>
      </c>
      <c r="BH68">
        <v>0</v>
      </c>
      <c r="BI68">
        <v>1</v>
      </c>
      <c r="BJ68">
        <v>0</v>
      </c>
      <c r="BK68">
        <v>0</v>
      </c>
      <c r="BL68">
        <v>0</v>
      </c>
      <c r="BM68">
        <v>0</v>
      </c>
      <c r="BN68">
        <v>12</v>
      </c>
      <c r="BO68">
        <v>107</v>
      </c>
      <c r="BP68">
        <v>79</v>
      </c>
      <c r="BQ68">
        <v>4</v>
      </c>
      <c r="BR68">
        <v>3</v>
      </c>
      <c r="BS68">
        <v>10</v>
      </c>
      <c r="BT68">
        <v>0</v>
      </c>
      <c r="BU68">
        <v>0</v>
      </c>
      <c r="BV68">
        <v>1</v>
      </c>
      <c r="BW68">
        <v>1</v>
      </c>
      <c r="BX68">
        <v>1</v>
      </c>
      <c r="BY68">
        <v>8</v>
      </c>
      <c r="BZ68">
        <v>107</v>
      </c>
      <c r="CA68">
        <v>3</v>
      </c>
      <c r="CB68">
        <v>2</v>
      </c>
      <c r="CC68">
        <v>1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3</v>
      </c>
      <c r="CM68">
        <v>5</v>
      </c>
      <c r="CN68">
        <v>1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3</v>
      </c>
      <c r="CU68">
        <v>0</v>
      </c>
      <c r="CV68">
        <v>0</v>
      </c>
      <c r="CW68">
        <v>0</v>
      </c>
      <c r="CX68">
        <v>5</v>
      </c>
      <c r="CY68">
        <v>12</v>
      </c>
      <c r="CZ68">
        <v>6</v>
      </c>
      <c r="DA68">
        <v>2</v>
      </c>
      <c r="DB68">
        <v>0</v>
      </c>
      <c r="DC68">
        <v>0</v>
      </c>
      <c r="DD68">
        <v>0</v>
      </c>
      <c r="DE68">
        <v>3</v>
      </c>
      <c r="DF68">
        <v>0</v>
      </c>
      <c r="DG68">
        <v>1</v>
      </c>
      <c r="DH68">
        <v>0</v>
      </c>
      <c r="DI68">
        <v>0</v>
      </c>
      <c r="DJ68">
        <v>12</v>
      </c>
      <c r="DK68">
        <v>10</v>
      </c>
      <c r="DL68">
        <v>8</v>
      </c>
      <c r="DM68">
        <v>0</v>
      </c>
      <c r="DN68">
        <v>0</v>
      </c>
      <c r="DO68">
        <v>0</v>
      </c>
      <c r="DP68">
        <v>0</v>
      </c>
      <c r="DQ68">
        <v>1</v>
      </c>
      <c r="DR68">
        <v>0</v>
      </c>
      <c r="DS68">
        <v>0</v>
      </c>
      <c r="DT68">
        <v>0</v>
      </c>
      <c r="DU68">
        <v>1</v>
      </c>
      <c r="DV68">
        <v>10</v>
      </c>
      <c r="DW68">
        <v>31</v>
      </c>
      <c r="DX68">
        <v>5</v>
      </c>
      <c r="DY68">
        <v>8</v>
      </c>
      <c r="DZ68">
        <v>1</v>
      </c>
      <c r="EA68">
        <v>0</v>
      </c>
      <c r="EB68">
        <v>11</v>
      </c>
      <c r="EC68">
        <v>4</v>
      </c>
      <c r="ED68">
        <v>0</v>
      </c>
      <c r="EE68">
        <v>1</v>
      </c>
      <c r="EF68">
        <v>0</v>
      </c>
      <c r="EG68">
        <v>1</v>
      </c>
      <c r="EH68">
        <v>31</v>
      </c>
      <c r="EI68">
        <v>3</v>
      </c>
      <c r="EJ68">
        <v>0</v>
      </c>
      <c r="EK68">
        <v>1</v>
      </c>
      <c r="EL68">
        <v>0</v>
      </c>
      <c r="EM68">
        <v>0</v>
      </c>
      <c r="EN68">
        <v>0</v>
      </c>
      <c r="EO68">
        <v>1</v>
      </c>
      <c r="EP68">
        <v>1</v>
      </c>
      <c r="EQ68">
        <v>0</v>
      </c>
      <c r="ER68">
        <v>3</v>
      </c>
      <c r="ES68">
        <v>1</v>
      </c>
      <c r="ET68">
        <v>1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1</v>
      </c>
      <c r="FE68">
        <v>1</v>
      </c>
      <c r="FF68">
        <v>1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1</v>
      </c>
    </row>
    <row r="69" spans="1:172" ht="14.25">
      <c r="A69">
        <v>64</v>
      </c>
      <c r="B69" t="str">
        <f t="shared" si="11"/>
        <v>100108</v>
      </c>
      <c r="C69" t="str">
        <f t="shared" si="12"/>
        <v>Zelów</v>
      </c>
      <c r="D69" t="str">
        <f t="shared" si="6"/>
        <v>bełchatowski</v>
      </c>
      <c r="E69" t="str">
        <f t="shared" si="3"/>
        <v>łódzkie</v>
      </c>
      <c r="F69">
        <v>2</v>
      </c>
      <c r="G69" t="str">
        <f>"Gimnazjum, Łobudzice 54, 97-425 Zelów"</f>
        <v>Gimnazjum, Łobudzice 54, 97-425 Zelów</v>
      </c>
      <c r="H69">
        <v>1756</v>
      </c>
      <c r="I69">
        <v>1756</v>
      </c>
      <c r="J69">
        <v>0</v>
      </c>
      <c r="K69">
        <v>1230</v>
      </c>
      <c r="L69">
        <v>947</v>
      </c>
      <c r="M69">
        <v>283</v>
      </c>
      <c r="N69">
        <v>283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283</v>
      </c>
      <c r="Z69">
        <v>0</v>
      </c>
      <c r="AA69">
        <v>0</v>
      </c>
      <c r="AB69">
        <v>283</v>
      </c>
      <c r="AC69">
        <v>13</v>
      </c>
      <c r="AD69">
        <v>270</v>
      </c>
      <c r="AE69">
        <v>8</v>
      </c>
      <c r="AF69">
        <v>4</v>
      </c>
      <c r="AG69">
        <v>2</v>
      </c>
      <c r="AH69">
        <v>2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8</v>
      </c>
      <c r="AQ69">
        <v>3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2</v>
      </c>
      <c r="AX69">
        <v>0</v>
      </c>
      <c r="AY69">
        <v>0</v>
      </c>
      <c r="AZ69">
        <v>0</v>
      </c>
      <c r="BA69">
        <v>0</v>
      </c>
      <c r="BB69">
        <v>3</v>
      </c>
      <c r="BC69">
        <v>14</v>
      </c>
      <c r="BD69">
        <v>4</v>
      </c>
      <c r="BE69">
        <v>0</v>
      </c>
      <c r="BF69">
        <v>0</v>
      </c>
      <c r="BG69">
        <v>0</v>
      </c>
      <c r="BH69">
        <v>4</v>
      </c>
      <c r="BI69">
        <v>0</v>
      </c>
      <c r="BJ69">
        <v>6</v>
      </c>
      <c r="BK69">
        <v>0</v>
      </c>
      <c r="BL69">
        <v>0</v>
      </c>
      <c r="BM69">
        <v>0</v>
      </c>
      <c r="BN69">
        <v>14</v>
      </c>
      <c r="BO69">
        <v>180</v>
      </c>
      <c r="BP69">
        <v>144</v>
      </c>
      <c r="BQ69">
        <v>9</v>
      </c>
      <c r="BR69">
        <v>4</v>
      </c>
      <c r="BS69">
        <v>13</v>
      </c>
      <c r="BT69">
        <v>1</v>
      </c>
      <c r="BU69">
        <v>2</v>
      </c>
      <c r="BV69">
        <v>0</v>
      </c>
      <c r="BW69">
        <v>3</v>
      </c>
      <c r="BX69">
        <v>1</v>
      </c>
      <c r="BY69">
        <v>3</v>
      </c>
      <c r="BZ69">
        <v>180</v>
      </c>
      <c r="CA69">
        <v>8</v>
      </c>
      <c r="CB69">
        <v>0</v>
      </c>
      <c r="CC69">
        <v>2</v>
      </c>
      <c r="CD69">
        <v>0</v>
      </c>
      <c r="CE69">
        <v>2</v>
      </c>
      <c r="CF69">
        <v>2</v>
      </c>
      <c r="CG69">
        <v>0</v>
      </c>
      <c r="CH69">
        <v>0</v>
      </c>
      <c r="CI69">
        <v>1</v>
      </c>
      <c r="CJ69">
        <v>1</v>
      </c>
      <c r="CK69">
        <v>0</v>
      </c>
      <c r="CL69">
        <v>8</v>
      </c>
      <c r="CM69">
        <v>4</v>
      </c>
      <c r="CN69">
        <v>1</v>
      </c>
      <c r="CO69">
        <v>0</v>
      </c>
      <c r="CP69">
        <v>0</v>
      </c>
      <c r="CQ69">
        <v>1</v>
      </c>
      <c r="CR69">
        <v>0</v>
      </c>
      <c r="CS69">
        <v>0</v>
      </c>
      <c r="CT69">
        <v>1</v>
      </c>
      <c r="CU69">
        <v>1</v>
      </c>
      <c r="CV69">
        <v>0</v>
      </c>
      <c r="CW69">
        <v>0</v>
      </c>
      <c r="CX69">
        <v>4</v>
      </c>
      <c r="CY69">
        <v>12</v>
      </c>
      <c r="CZ69">
        <v>5</v>
      </c>
      <c r="DA69">
        <v>0</v>
      </c>
      <c r="DB69">
        <v>1</v>
      </c>
      <c r="DC69">
        <v>0</v>
      </c>
      <c r="DD69">
        <v>0</v>
      </c>
      <c r="DE69">
        <v>1</v>
      </c>
      <c r="DF69">
        <v>2</v>
      </c>
      <c r="DG69">
        <v>2</v>
      </c>
      <c r="DH69">
        <v>1</v>
      </c>
      <c r="DI69">
        <v>0</v>
      </c>
      <c r="DJ69">
        <v>12</v>
      </c>
      <c r="DK69">
        <v>22</v>
      </c>
      <c r="DL69">
        <v>10</v>
      </c>
      <c r="DM69">
        <v>0</v>
      </c>
      <c r="DN69">
        <v>2</v>
      </c>
      <c r="DO69">
        <v>1</v>
      </c>
      <c r="DP69">
        <v>0</v>
      </c>
      <c r="DQ69">
        <v>0</v>
      </c>
      <c r="DR69">
        <v>9</v>
      </c>
      <c r="DS69">
        <v>0</v>
      </c>
      <c r="DT69">
        <v>0</v>
      </c>
      <c r="DU69">
        <v>0</v>
      </c>
      <c r="DV69">
        <v>22</v>
      </c>
      <c r="DW69">
        <v>16</v>
      </c>
      <c r="DX69">
        <v>3</v>
      </c>
      <c r="DY69">
        <v>2</v>
      </c>
      <c r="DZ69">
        <v>0</v>
      </c>
      <c r="EA69">
        <v>0</v>
      </c>
      <c r="EB69">
        <v>5</v>
      </c>
      <c r="EC69">
        <v>5</v>
      </c>
      <c r="ED69">
        <v>0</v>
      </c>
      <c r="EE69">
        <v>1</v>
      </c>
      <c r="EF69">
        <v>0</v>
      </c>
      <c r="EG69">
        <v>0</v>
      </c>
      <c r="EH69">
        <v>16</v>
      </c>
      <c r="EI69">
        <v>1</v>
      </c>
      <c r="EJ69">
        <v>0</v>
      </c>
      <c r="EK69">
        <v>1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1</v>
      </c>
      <c r="ES69">
        <v>1</v>
      </c>
      <c r="ET69">
        <v>1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1</v>
      </c>
      <c r="FE69">
        <v>1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1</v>
      </c>
      <c r="FP69">
        <v>1</v>
      </c>
    </row>
    <row r="70" spans="1:172" ht="14.25">
      <c r="A70">
        <v>65</v>
      </c>
      <c r="B70" t="str">
        <f t="shared" si="11"/>
        <v>100108</v>
      </c>
      <c r="C70" t="str">
        <f t="shared" si="12"/>
        <v>Zelów</v>
      </c>
      <c r="D70" t="str">
        <f aca="true" t="shared" si="13" ref="D70:D77">"bełchatowski"</f>
        <v>bełchatowski</v>
      </c>
      <c r="E70" t="str">
        <f aca="true" t="shared" si="14" ref="E70:E133">"łódzkie"</f>
        <v>łódzkie</v>
      </c>
      <c r="F70">
        <v>3</v>
      </c>
      <c r="G70" t="str">
        <f>"Szkoła Podstawowa, Wygiełzów 17, 97-425 Zelów"</f>
        <v>Szkoła Podstawowa, Wygiełzów 17, 97-425 Zelów</v>
      </c>
      <c r="H70">
        <v>1619</v>
      </c>
      <c r="I70">
        <v>1619</v>
      </c>
      <c r="J70">
        <v>0</v>
      </c>
      <c r="K70">
        <v>1139</v>
      </c>
      <c r="L70">
        <v>904</v>
      </c>
      <c r="M70">
        <v>235</v>
      </c>
      <c r="N70">
        <v>235</v>
      </c>
      <c r="O70">
        <v>0</v>
      </c>
      <c r="P70">
        <v>0</v>
      </c>
      <c r="Q70">
        <v>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235</v>
      </c>
      <c r="Z70">
        <v>0</v>
      </c>
      <c r="AA70">
        <v>0</v>
      </c>
      <c r="AB70">
        <v>235</v>
      </c>
      <c r="AC70">
        <v>11</v>
      </c>
      <c r="AD70">
        <v>224</v>
      </c>
      <c r="AE70">
        <v>6</v>
      </c>
      <c r="AF70">
        <v>2</v>
      </c>
      <c r="AG70">
        <v>2</v>
      </c>
      <c r="AH70">
        <v>1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6</v>
      </c>
      <c r="AQ70">
        <v>2</v>
      </c>
      <c r="AR70">
        <v>2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2</v>
      </c>
      <c r="BC70">
        <v>15</v>
      </c>
      <c r="BD70">
        <v>1</v>
      </c>
      <c r="BE70">
        <v>1</v>
      </c>
      <c r="BF70">
        <v>0</v>
      </c>
      <c r="BG70">
        <v>0</v>
      </c>
      <c r="BH70">
        <v>0</v>
      </c>
      <c r="BI70">
        <v>2</v>
      </c>
      <c r="BJ70">
        <v>11</v>
      </c>
      <c r="BK70">
        <v>0</v>
      </c>
      <c r="BL70">
        <v>0</v>
      </c>
      <c r="BM70">
        <v>0</v>
      </c>
      <c r="BN70">
        <v>15</v>
      </c>
      <c r="BO70">
        <v>134</v>
      </c>
      <c r="BP70">
        <v>105</v>
      </c>
      <c r="BQ70">
        <v>5</v>
      </c>
      <c r="BR70">
        <v>1</v>
      </c>
      <c r="BS70">
        <v>16</v>
      </c>
      <c r="BT70">
        <v>1</v>
      </c>
      <c r="BU70">
        <v>1</v>
      </c>
      <c r="BV70">
        <v>2</v>
      </c>
      <c r="BW70">
        <v>2</v>
      </c>
      <c r="BX70">
        <v>1</v>
      </c>
      <c r="BY70">
        <v>0</v>
      </c>
      <c r="BZ70">
        <v>134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12</v>
      </c>
      <c r="CZ70">
        <v>5</v>
      </c>
      <c r="DA70">
        <v>1</v>
      </c>
      <c r="DB70">
        <v>0</v>
      </c>
      <c r="DC70">
        <v>3</v>
      </c>
      <c r="DD70">
        <v>0</v>
      </c>
      <c r="DE70">
        <v>0</v>
      </c>
      <c r="DF70">
        <v>0</v>
      </c>
      <c r="DG70">
        <v>0</v>
      </c>
      <c r="DH70">
        <v>2</v>
      </c>
      <c r="DI70">
        <v>1</v>
      </c>
      <c r="DJ70">
        <v>12</v>
      </c>
      <c r="DK70">
        <v>25</v>
      </c>
      <c r="DL70">
        <v>16</v>
      </c>
      <c r="DM70">
        <v>6</v>
      </c>
      <c r="DN70">
        <v>0</v>
      </c>
      <c r="DO70">
        <v>2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1</v>
      </c>
      <c r="DV70">
        <v>25</v>
      </c>
      <c r="DW70">
        <v>27</v>
      </c>
      <c r="DX70">
        <v>5</v>
      </c>
      <c r="DY70">
        <v>0</v>
      </c>
      <c r="DZ70">
        <v>1</v>
      </c>
      <c r="EA70">
        <v>6</v>
      </c>
      <c r="EB70">
        <v>3</v>
      </c>
      <c r="EC70">
        <v>3</v>
      </c>
      <c r="ED70">
        <v>3</v>
      </c>
      <c r="EE70">
        <v>2</v>
      </c>
      <c r="EF70">
        <v>3</v>
      </c>
      <c r="EG70">
        <v>1</v>
      </c>
      <c r="EH70">
        <v>27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1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1</v>
      </c>
      <c r="EZ70">
        <v>0</v>
      </c>
      <c r="FA70">
        <v>0</v>
      </c>
      <c r="FB70">
        <v>0</v>
      </c>
      <c r="FC70">
        <v>0</v>
      </c>
      <c r="FD70">
        <v>1</v>
      </c>
      <c r="FE70">
        <v>2</v>
      </c>
      <c r="FF70">
        <v>0</v>
      </c>
      <c r="FG70">
        <v>2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2</v>
      </c>
    </row>
    <row r="71" spans="1:172" ht="14.25">
      <c r="A71">
        <v>66</v>
      </c>
      <c r="B71" t="str">
        <f t="shared" si="11"/>
        <v>100108</v>
      </c>
      <c r="C71" t="str">
        <f t="shared" si="12"/>
        <v>Zelów</v>
      </c>
      <c r="D71" t="str">
        <f t="shared" si="13"/>
        <v>bełchatowski</v>
      </c>
      <c r="E71" t="str">
        <f t="shared" si="14"/>
        <v>łódzkie</v>
      </c>
      <c r="F71">
        <v>4</v>
      </c>
      <c r="G71" t="str">
        <f>"Ochotnicza Straż Pożarna, Pożdżenice 140, 97-425 Zelów"</f>
        <v>Ochotnicza Straż Pożarna, Pożdżenice 140, 97-425 Zelów</v>
      </c>
      <c r="H71">
        <v>936</v>
      </c>
      <c r="I71">
        <v>936</v>
      </c>
      <c r="J71">
        <v>0</v>
      </c>
      <c r="K71">
        <v>650</v>
      </c>
      <c r="L71">
        <v>517</v>
      </c>
      <c r="M71">
        <v>133</v>
      </c>
      <c r="N71">
        <v>133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133</v>
      </c>
      <c r="Z71">
        <v>0</v>
      </c>
      <c r="AA71">
        <v>0</v>
      </c>
      <c r="AB71">
        <v>133</v>
      </c>
      <c r="AC71">
        <v>7</v>
      </c>
      <c r="AD71">
        <v>126</v>
      </c>
      <c r="AE71">
        <v>1</v>
      </c>
      <c r="AF71">
        <v>1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4</v>
      </c>
      <c r="AR71">
        <v>3</v>
      </c>
      <c r="AS71">
        <v>0</v>
      </c>
      <c r="AT71">
        <v>0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4</v>
      </c>
      <c r="BC71">
        <v>13</v>
      </c>
      <c r="BD71">
        <v>3</v>
      </c>
      <c r="BE71">
        <v>2</v>
      </c>
      <c r="BF71">
        <v>1</v>
      </c>
      <c r="BG71">
        <v>0</v>
      </c>
      <c r="BH71">
        <v>0</v>
      </c>
      <c r="BI71">
        <v>1</v>
      </c>
      <c r="BJ71">
        <v>6</v>
      </c>
      <c r="BK71">
        <v>0</v>
      </c>
      <c r="BL71">
        <v>0</v>
      </c>
      <c r="BM71">
        <v>0</v>
      </c>
      <c r="BN71">
        <v>13</v>
      </c>
      <c r="BO71">
        <v>58</v>
      </c>
      <c r="BP71">
        <v>38</v>
      </c>
      <c r="BQ71">
        <v>1</v>
      </c>
      <c r="BR71">
        <v>0</v>
      </c>
      <c r="BS71">
        <v>11</v>
      </c>
      <c r="BT71">
        <v>4</v>
      </c>
      <c r="BU71">
        <v>2</v>
      </c>
      <c r="BV71">
        <v>1</v>
      </c>
      <c r="BW71">
        <v>0</v>
      </c>
      <c r="BX71">
        <v>0</v>
      </c>
      <c r="BY71">
        <v>1</v>
      </c>
      <c r="BZ71">
        <v>58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1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1</v>
      </c>
      <c r="CU71">
        <v>0</v>
      </c>
      <c r="CV71">
        <v>0</v>
      </c>
      <c r="CW71">
        <v>0</v>
      </c>
      <c r="CX71">
        <v>1</v>
      </c>
      <c r="CY71">
        <v>12</v>
      </c>
      <c r="CZ71">
        <v>4</v>
      </c>
      <c r="DA71">
        <v>2</v>
      </c>
      <c r="DB71">
        <v>1</v>
      </c>
      <c r="DC71">
        <v>0</v>
      </c>
      <c r="DD71">
        <v>0</v>
      </c>
      <c r="DE71">
        <v>0</v>
      </c>
      <c r="DF71">
        <v>2</v>
      </c>
      <c r="DG71">
        <v>1</v>
      </c>
      <c r="DH71">
        <v>1</v>
      </c>
      <c r="DI71">
        <v>1</v>
      </c>
      <c r="DJ71">
        <v>12</v>
      </c>
      <c r="DK71">
        <v>21</v>
      </c>
      <c r="DL71">
        <v>9</v>
      </c>
      <c r="DM71">
        <v>3</v>
      </c>
      <c r="DN71">
        <v>0</v>
      </c>
      <c r="DO71">
        <v>3</v>
      </c>
      <c r="DP71">
        <v>1</v>
      </c>
      <c r="DQ71">
        <v>0</v>
      </c>
      <c r="DR71">
        <v>4</v>
      </c>
      <c r="DS71">
        <v>0</v>
      </c>
      <c r="DT71">
        <v>0</v>
      </c>
      <c r="DU71">
        <v>1</v>
      </c>
      <c r="DV71">
        <v>21</v>
      </c>
      <c r="DW71">
        <v>14</v>
      </c>
      <c r="DX71">
        <v>8</v>
      </c>
      <c r="DY71">
        <v>2</v>
      </c>
      <c r="DZ71">
        <v>0</v>
      </c>
      <c r="EA71">
        <v>0</v>
      </c>
      <c r="EB71">
        <v>2</v>
      </c>
      <c r="EC71">
        <v>2</v>
      </c>
      <c r="ED71">
        <v>0</v>
      </c>
      <c r="EE71">
        <v>0</v>
      </c>
      <c r="EF71">
        <v>0</v>
      </c>
      <c r="EG71">
        <v>0</v>
      </c>
      <c r="EH71">
        <v>14</v>
      </c>
      <c r="EI71">
        <v>1</v>
      </c>
      <c r="EJ71">
        <v>0</v>
      </c>
      <c r="EK71">
        <v>1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</v>
      </c>
      <c r="ES71">
        <v>1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1</v>
      </c>
      <c r="FD71">
        <v>1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</row>
    <row r="72" spans="1:172" ht="14.25">
      <c r="A72">
        <v>67</v>
      </c>
      <c r="B72" t="str">
        <f t="shared" si="11"/>
        <v>100108</v>
      </c>
      <c r="C72" t="str">
        <f t="shared" si="12"/>
        <v>Zelów</v>
      </c>
      <c r="D72" t="str">
        <f t="shared" si="13"/>
        <v>bełchatowski</v>
      </c>
      <c r="E72" t="str">
        <f t="shared" si="14"/>
        <v>łódzkie</v>
      </c>
      <c r="F72">
        <v>5</v>
      </c>
      <c r="G72" t="str">
        <f>"Zespół Szkół Ogólnokształcących, ul. Kilińskiego 40, 97-425 Zelów"</f>
        <v>Zespół Szkół Ogólnokształcących, ul. Kilińskiego 40, 97-425 Zelów</v>
      </c>
      <c r="H72">
        <v>1519</v>
      </c>
      <c r="I72">
        <v>1519</v>
      </c>
      <c r="J72">
        <v>0</v>
      </c>
      <c r="K72">
        <v>1068</v>
      </c>
      <c r="L72">
        <v>723</v>
      </c>
      <c r="M72">
        <v>345</v>
      </c>
      <c r="N72">
        <v>345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345</v>
      </c>
      <c r="Z72">
        <v>0</v>
      </c>
      <c r="AA72">
        <v>0</v>
      </c>
      <c r="AB72">
        <v>345</v>
      </c>
      <c r="AC72">
        <v>21</v>
      </c>
      <c r="AD72">
        <v>324</v>
      </c>
      <c r="AE72">
        <v>8</v>
      </c>
      <c r="AF72">
        <v>4</v>
      </c>
      <c r="AG72">
        <v>0</v>
      </c>
      <c r="AH72">
        <v>0</v>
      </c>
      <c r="AI72">
        <v>2</v>
      </c>
      <c r="AJ72">
        <v>0</v>
      </c>
      <c r="AK72">
        <v>0</v>
      </c>
      <c r="AL72">
        <v>1</v>
      </c>
      <c r="AM72">
        <v>0</v>
      </c>
      <c r="AN72">
        <v>1</v>
      </c>
      <c r="AO72">
        <v>0</v>
      </c>
      <c r="AP72">
        <v>8</v>
      </c>
      <c r="AQ72">
        <v>11</v>
      </c>
      <c r="AR72">
        <v>5</v>
      </c>
      <c r="AS72">
        <v>1</v>
      </c>
      <c r="AT72">
        <v>1</v>
      </c>
      <c r="AU72">
        <v>0</v>
      </c>
      <c r="AV72">
        <v>1</v>
      </c>
      <c r="AW72">
        <v>1</v>
      </c>
      <c r="AX72">
        <v>0</v>
      </c>
      <c r="AY72">
        <v>0</v>
      </c>
      <c r="AZ72">
        <v>0</v>
      </c>
      <c r="BA72">
        <v>2</v>
      </c>
      <c r="BB72">
        <v>11</v>
      </c>
      <c r="BC72">
        <v>25</v>
      </c>
      <c r="BD72">
        <v>2</v>
      </c>
      <c r="BE72">
        <v>3</v>
      </c>
      <c r="BF72">
        <v>0</v>
      </c>
      <c r="BG72">
        <v>0</v>
      </c>
      <c r="BH72">
        <v>0</v>
      </c>
      <c r="BI72">
        <v>2</v>
      </c>
      <c r="BJ72">
        <v>13</v>
      </c>
      <c r="BK72">
        <v>0</v>
      </c>
      <c r="BL72">
        <v>1</v>
      </c>
      <c r="BM72">
        <v>4</v>
      </c>
      <c r="BN72">
        <v>25</v>
      </c>
      <c r="BO72">
        <v>165</v>
      </c>
      <c r="BP72">
        <v>132</v>
      </c>
      <c r="BQ72">
        <v>2</v>
      </c>
      <c r="BR72">
        <v>3</v>
      </c>
      <c r="BS72">
        <v>18</v>
      </c>
      <c r="BT72">
        <v>1</v>
      </c>
      <c r="BU72">
        <v>0</v>
      </c>
      <c r="BV72">
        <v>0</v>
      </c>
      <c r="BW72">
        <v>2</v>
      </c>
      <c r="BX72">
        <v>3</v>
      </c>
      <c r="BY72">
        <v>4</v>
      </c>
      <c r="BZ72">
        <v>165</v>
      </c>
      <c r="CA72">
        <v>5</v>
      </c>
      <c r="CB72">
        <v>2</v>
      </c>
      <c r="CC72">
        <v>0</v>
      </c>
      <c r="CD72">
        <v>1</v>
      </c>
      <c r="CE72">
        <v>1</v>
      </c>
      <c r="CF72">
        <v>0</v>
      </c>
      <c r="CG72">
        <v>1</v>
      </c>
      <c r="CH72">
        <v>0</v>
      </c>
      <c r="CI72">
        <v>0</v>
      </c>
      <c r="CJ72">
        <v>0</v>
      </c>
      <c r="CK72">
        <v>0</v>
      </c>
      <c r="CL72">
        <v>5</v>
      </c>
      <c r="CM72">
        <v>2</v>
      </c>
      <c r="CN72">
        <v>1</v>
      </c>
      <c r="CO72">
        <v>0</v>
      </c>
      <c r="CP72">
        <v>0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2</v>
      </c>
      <c r="CY72">
        <v>18</v>
      </c>
      <c r="CZ72">
        <v>9</v>
      </c>
      <c r="DA72">
        <v>1</v>
      </c>
      <c r="DB72">
        <v>1</v>
      </c>
      <c r="DC72">
        <v>1</v>
      </c>
      <c r="DD72">
        <v>0</v>
      </c>
      <c r="DE72">
        <v>2</v>
      </c>
      <c r="DF72">
        <v>0</v>
      </c>
      <c r="DG72">
        <v>1</v>
      </c>
      <c r="DH72">
        <v>3</v>
      </c>
      <c r="DI72">
        <v>0</v>
      </c>
      <c r="DJ72">
        <v>18</v>
      </c>
      <c r="DK72">
        <v>74</v>
      </c>
      <c r="DL72">
        <v>43</v>
      </c>
      <c r="DM72">
        <v>9</v>
      </c>
      <c r="DN72">
        <v>1</v>
      </c>
      <c r="DO72">
        <v>1</v>
      </c>
      <c r="DP72">
        <v>1</v>
      </c>
      <c r="DQ72">
        <v>0</v>
      </c>
      <c r="DR72">
        <v>18</v>
      </c>
      <c r="DS72">
        <v>1</v>
      </c>
      <c r="DT72">
        <v>0</v>
      </c>
      <c r="DU72">
        <v>0</v>
      </c>
      <c r="DV72">
        <v>74</v>
      </c>
      <c r="DW72">
        <v>13</v>
      </c>
      <c r="DX72">
        <v>2</v>
      </c>
      <c r="DY72">
        <v>1</v>
      </c>
      <c r="DZ72">
        <v>0</v>
      </c>
      <c r="EA72">
        <v>1</v>
      </c>
      <c r="EB72">
        <v>4</v>
      </c>
      <c r="EC72">
        <v>4</v>
      </c>
      <c r="ED72">
        <v>0</v>
      </c>
      <c r="EE72">
        <v>1</v>
      </c>
      <c r="EF72">
        <v>0</v>
      </c>
      <c r="EG72">
        <v>0</v>
      </c>
      <c r="EH72">
        <v>13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1</v>
      </c>
      <c r="ET72">
        <v>0</v>
      </c>
      <c r="EU72">
        <v>1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1</v>
      </c>
      <c r="FE72">
        <v>2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1</v>
      </c>
      <c r="FL72">
        <v>0</v>
      </c>
      <c r="FM72">
        <v>0</v>
      </c>
      <c r="FN72">
        <v>0</v>
      </c>
      <c r="FO72">
        <v>1</v>
      </c>
      <c r="FP72">
        <v>2</v>
      </c>
    </row>
    <row r="73" spans="1:172" ht="14.25">
      <c r="A73">
        <v>68</v>
      </c>
      <c r="B73" t="str">
        <f t="shared" si="11"/>
        <v>100108</v>
      </c>
      <c r="C73" t="str">
        <f t="shared" si="12"/>
        <v>Zelów</v>
      </c>
      <c r="D73" t="str">
        <f t="shared" si="13"/>
        <v>bełchatowski</v>
      </c>
      <c r="E73" t="str">
        <f t="shared" si="14"/>
        <v>łódzkie</v>
      </c>
      <c r="F73">
        <v>6</v>
      </c>
      <c r="G73" t="str">
        <f>"Miejsko-Gminny Ośrodek Pomocy Społecznej, ul. Piotrkowska 12, 97-425 Zelów"</f>
        <v>Miejsko-Gminny Ośrodek Pomocy Społecznej, ul. Piotrkowska 12, 97-425 Zelów</v>
      </c>
      <c r="H73">
        <v>1487</v>
      </c>
      <c r="I73">
        <v>1487</v>
      </c>
      <c r="J73">
        <v>0</v>
      </c>
      <c r="K73">
        <v>1040</v>
      </c>
      <c r="L73">
        <v>706</v>
      </c>
      <c r="M73">
        <v>334</v>
      </c>
      <c r="N73">
        <v>334</v>
      </c>
      <c r="O73">
        <v>0</v>
      </c>
      <c r="P73">
        <v>0</v>
      </c>
      <c r="Q73">
        <v>2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334</v>
      </c>
      <c r="Z73">
        <v>0</v>
      </c>
      <c r="AA73">
        <v>0</v>
      </c>
      <c r="AB73">
        <v>334</v>
      </c>
      <c r="AC73">
        <v>12</v>
      </c>
      <c r="AD73">
        <v>322</v>
      </c>
      <c r="AE73">
        <v>3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1</v>
      </c>
      <c r="AL73">
        <v>1</v>
      </c>
      <c r="AM73">
        <v>0</v>
      </c>
      <c r="AN73">
        <v>0</v>
      </c>
      <c r="AO73">
        <v>0</v>
      </c>
      <c r="AP73">
        <v>3</v>
      </c>
      <c r="AQ73">
        <v>6</v>
      </c>
      <c r="AR73">
        <v>4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1</v>
      </c>
      <c r="AY73">
        <v>0</v>
      </c>
      <c r="AZ73">
        <v>0</v>
      </c>
      <c r="BA73">
        <v>0</v>
      </c>
      <c r="BB73">
        <v>6</v>
      </c>
      <c r="BC73">
        <v>34</v>
      </c>
      <c r="BD73">
        <v>9</v>
      </c>
      <c r="BE73">
        <v>0</v>
      </c>
      <c r="BF73">
        <v>0</v>
      </c>
      <c r="BG73">
        <v>0</v>
      </c>
      <c r="BH73">
        <v>0</v>
      </c>
      <c r="BI73">
        <v>1</v>
      </c>
      <c r="BJ73">
        <v>20</v>
      </c>
      <c r="BK73">
        <v>0</v>
      </c>
      <c r="BL73">
        <v>0</v>
      </c>
      <c r="BM73">
        <v>4</v>
      </c>
      <c r="BN73">
        <v>34</v>
      </c>
      <c r="BO73">
        <v>159</v>
      </c>
      <c r="BP73">
        <v>114</v>
      </c>
      <c r="BQ73">
        <v>13</v>
      </c>
      <c r="BR73">
        <v>7</v>
      </c>
      <c r="BS73">
        <v>10</v>
      </c>
      <c r="BT73">
        <v>0</v>
      </c>
      <c r="BU73">
        <v>7</v>
      </c>
      <c r="BV73">
        <v>1</v>
      </c>
      <c r="BW73">
        <v>1</v>
      </c>
      <c r="BX73">
        <v>3</v>
      </c>
      <c r="BY73">
        <v>3</v>
      </c>
      <c r="BZ73">
        <v>159</v>
      </c>
      <c r="CA73">
        <v>8</v>
      </c>
      <c r="CB73">
        <v>2</v>
      </c>
      <c r="CC73">
        <v>3</v>
      </c>
      <c r="CD73">
        <v>0</v>
      </c>
      <c r="CE73">
        <v>1</v>
      </c>
      <c r="CF73">
        <v>0</v>
      </c>
      <c r="CG73">
        <v>0</v>
      </c>
      <c r="CH73">
        <v>1</v>
      </c>
      <c r="CI73">
        <v>1</v>
      </c>
      <c r="CJ73">
        <v>0</v>
      </c>
      <c r="CK73">
        <v>0</v>
      </c>
      <c r="CL73">
        <v>8</v>
      </c>
      <c r="CM73">
        <v>9</v>
      </c>
      <c r="CN73">
        <v>2</v>
      </c>
      <c r="CO73">
        <v>0</v>
      </c>
      <c r="CP73">
        <v>1</v>
      </c>
      <c r="CQ73">
        <v>0</v>
      </c>
      <c r="CR73">
        <v>0</v>
      </c>
      <c r="CS73">
        <v>0</v>
      </c>
      <c r="CT73">
        <v>4</v>
      </c>
      <c r="CU73">
        <v>1</v>
      </c>
      <c r="CV73">
        <v>0</v>
      </c>
      <c r="CW73">
        <v>1</v>
      </c>
      <c r="CX73">
        <v>9</v>
      </c>
      <c r="CY73">
        <v>19</v>
      </c>
      <c r="CZ73">
        <v>12</v>
      </c>
      <c r="DA73">
        <v>2</v>
      </c>
      <c r="DB73">
        <v>1</v>
      </c>
      <c r="DC73">
        <v>0</v>
      </c>
      <c r="DD73">
        <v>0</v>
      </c>
      <c r="DE73">
        <v>1</v>
      </c>
      <c r="DF73">
        <v>1</v>
      </c>
      <c r="DG73">
        <v>1</v>
      </c>
      <c r="DH73">
        <v>1</v>
      </c>
      <c r="DI73">
        <v>0</v>
      </c>
      <c r="DJ73">
        <v>19</v>
      </c>
      <c r="DK73">
        <v>70</v>
      </c>
      <c r="DL73">
        <v>46</v>
      </c>
      <c r="DM73">
        <v>6</v>
      </c>
      <c r="DN73">
        <v>4</v>
      </c>
      <c r="DO73">
        <v>0</v>
      </c>
      <c r="DP73">
        <v>1</v>
      </c>
      <c r="DQ73">
        <v>2</v>
      </c>
      <c r="DR73">
        <v>6</v>
      </c>
      <c r="DS73">
        <v>3</v>
      </c>
      <c r="DT73">
        <v>0</v>
      </c>
      <c r="DU73">
        <v>2</v>
      </c>
      <c r="DV73">
        <v>70</v>
      </c>
      <c r="DW73">
        <v>10</v>
      </c>
      <c r="DX73">
        <v>1</v>
      </c>
      <c r="DY73">
        <v>1</v>
      </c>
      <c r="DZ73">
        <v>1</v>
      </c>
      <c r="EA73">
        <v>0</v>
      </c>
      <c r="EB73">
        <v>4</v>
      </c>
      <c r="EC73">
        <v>1</v>
      </c>
      <c r="ED73">
        <v>0</v>
      </c>
      <c r="EE73">
        <v>0</v>
      </c>
      <c r="EF73">
        <v>2</v>
      </c>
      <c r="EG73">
        <v>0</v>
      </c>
      <c r="EH73">
        <v>10</v>
      </c>
      <c r="EI73">
        <v>2</v>
      </c>
      <c r="EJ73">
        <v>0</v>
      </c>
      <c r="EK73">
        <v>2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2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2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1</v>
      </c>
      <c r="FO73">
        <v>1</v>
      </c>
      <c r="FP73">
        <v>2</v>
      </c>
    </row>
    <row r="74" spans="1:172" ht="14.25">
      <c r="A74">
        <v>69</v>
      </c>
      <c r="B74" t="str">
        <f t="shared" si="11"/>
        <v>100108</v>
      </c>
      <c r="C74" t="str">
        <f t="shared" si="12"/>
        <v>Zelów</v>
      </c>
      <c r="D74" t="str">
        <f t="shared" si="13"/>
        <v>bełchatowski</v>
      </c>
      <c r="E74" t="str">
        <f t="shared" si="14"/>
        <v>łódzkie</v>
      </c>
      <c r="F74">
        <v>7</v>
      </c>
      <c r="G74" t="str">
        <f>"Szkoła Podstawowa Nr 2, ul. Kościuszki 40/42, 97-425 Zelów"</f>
        <v>Szkoła Podstawowa Nr 2, ul. Kościuszki 40/42, 97-425 Zelów</v>
      </c>
      <c r="H74">
        <v>770</v>
      </c>
      <c r="I74">
        <v>770</v>
      </c>
      <c r="J74">
        <v>0</v>
      </c>
      <c r="K74">
        <v>540</v>
      </c>
      <c r="L74">
        <v>371</v>
      </c>
      <c r="M74">
        <v>169</v>
      </c>
      <c r="N74">
        <v>169</v>
      </c>
      <c r="O74">
        <v>0</v>
      </c>
      <c r="P74">
        <v>0</v>
      </c>
      <c r="Q74">
        <v>3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169</v>
      </c>
      <c r="Z74">
        <v>0</v>
      </c>
      <c r="AA74">
        <v>0</v>
      </c>
      <c r="AB74">
        <v>169</v>
      </c>
      <c r="AC74">
        <v>5</v>
      </c>
      <c r="AD74">
        <v>164</v>
      </c>
      <c r="AE74">
        <v>7</v>
      </c>
      <c r="AF74">
        <v>3</v>
      </c>
      <c r="AG74">
        <v>1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1</v>
      </c>
      <c r="AN74">
        <v>1</v>
      </c>
      <c r="AO74">
        <v>0</v>
      </c>
      <c r="AP74">
        <v>7</v>
      </c>
      <c r="AQ74">
        <v>5</v>
      </c>
      <c r="AR74">
        <v>4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</v>
      </c>
      <c r="AY74">
        <v>0</v>
      </c>
      <c r="AZ74">
        <v>0</v>
      </c>
      <c r="BA74">
        <v>0</v>
      </c>
      <c r="BB74">
        <v>5</v>
      </c>
      <c r="BC74">
        <v>8</v>
      </c>
      <c r="BD74">
        <v>1</v>
      </c>
      <c r="BE74">
        <v>2</v>
      </c>
      <c r="BF74">
        <v>0</v>
      </c>
      <c r="BG74">
        <v>0</v>
      </c>
      <c r="BH74">
        <v>0</v>
      </c>
      <c r="BI74">
        <v>0</v>
      </c>
      <c r="BJ74">
        <v>3</v>
      </c>
      <c r="BK74">
        <v>1</v>
      </c>
      <c r="BL74">
        <v>0</v>
      </c>
      <c r="BM74">
        <v>1</v>
      </c>
      <c r="BN74">
        <v>8</v>
      </c>
      <c r="BO74">
        <v>76</v>
      </c>
      <c r="BP74">
        <v>61</v>
      </c>
      <c r="BQ74">
        <v>3</v>
      </c>
      <c r="BR74">
        <v>2</v>
      </c>
      <c r="BS74">
        <v>2</v>
      </c>
      <c r="BT74">
        <v>0</v>
      </c>
      <c r="BU74">
        <v>4</v>
      </c>
      <c r="BV74">
        <v>0</v>
      </c>
      <c r="BW74">
        <v>0</v>
      </c>
      <c r="BX74">
        <v>1</v>
      </c>
      <c r="BY74">
        <v>3</v>
      </c>
      <c r="BZ74">
        <v>76</v>
      </c>
      <c r="CA74">
        <v>5</v>
      </c>
      <c r="CB74">
        <v>2</v>
      </c>
      <c r="CC74">
        <v>0</v>
      </c>
      <c r="CD74">
        <v>0</v>
      </c>
      <c r="CE74">
        <v>1</v>
      </c>
      <c r="CF74">
        <v>0</v>
      </c>
      <c r="CG74">
        <v>1</v>
      </c>
      <c r="CH74">
        <v>0</v>
      </c>
      <c r="CI74">
        <v>0</v>
      </c>
      <c r="CJ74">
        <v>1</v>
      </c>
      <c r="CK74">
        <v>0</v>
      </c>
      <c r="CL74">
        <v>5</v>
      </c>
      <c r="CM74">
        <v>4</v>
      </c>
      <c r="CN74">
        <v>3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1</v>
      </c>
      <c r="CW74">
        <v>0</v>
      </c>
      <c r="CX74">
        <v>4</v>
      </c>
      <c r="CY74">
        <v>10</v>
      </c>
      <c r="CZ74">
        <v>3</v>
      </c>
      <c r="DA74">
        <v>1</v>
      </c>
      <c r="DB74">
        <v>1</v>
      </c>
      <c r="DC74">
        <v>1</v>
      </c>
      <c r="DD74">
        <v>0</v>
      </c>
      <c r="DE74">
        <v>0</v>
      </c>
      <c r="DF74">
        <v>0</v>
      </c>
      <c r="DG74">
        <v>0</v>
      </c>
      <c r="DH74">
        <v>4</v>
      </c>
      <c r="DI74">
        <v>0</v>
      </c>
      <c r="DJ74">
        <v>10</v>
      </c>
      <c r="DK74">
        <v>42</v>
      </c>
      <c r="DL74">
        <v>29</v>
      </c>
      <c r="DM74">
        <v>3</v>
      </c>
      <c r="DN74">
        <v>0</v>
      </c>
      <c r="DO74">
        <v>0</v>
      </c>
      <c r="DP74">
        <v>2</v>
      </c>
      <c r="DQ74">
        <v>0</v>
      </c>
      <c r="DR74">
        <v>8</v>
      </c>
      <c r="DS74">
        <v>0</v>
      </c>
      <c r="DT74">
        <v>0</v>
      </c>
      <c r="DU74">
        <v>0</v>
      </c>
      <c r="DV74">
        <v>42</v>
      </c>
      <c r="DW74">
        <v>6</v>
      </c>
      <c r="DX74">
        <v>0</v>
      </c>
      <c r="DY74">
        <v>4</v>
      </c>
      <c r="DZ74">
        <v>0</v>
      </c>
      <c r="EA74">
        <v>0</v>
      </c>
      <c r="EB74">
        <v>2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6</v>
      </c>
      <c r="EI74">
        <v>1</v>
      </c>
      <c r="EJ74">
        <v>0</v>
      </c>
      <c r="EK74">
        <v>1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1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</row>
    <row r="75" spans="1:172" ht="14.25">
      <c r="A75">
        <v>70</v>
      </c>
      <c r="B75" t="str">
        <f t="shared" si="11"/>
        <v>100108</v>
      </c>
      <c r="C75" t="str">
        <f t="shared" si="12"/>
        <v>Zelów</v>
      </c>
      <c r="D75" t="str">
        <f t="shared" si="13"/>
        <v>bełchatowski</v>
      </c>
      <c r="E75" t="str">
        <f t="shared" si="14"/>
        <v>łódzkie</v>
      </c>
      <c r="F75">
        <v>8</v>
      </c>
      <c r="G75" t="str">
        <f>"Szkoła Podstawowa Nr 2, ul. Kościuszki 40/42, 97-425 Zelów"</f>
        <v>Szkoła Podstawowa Nr 2, ul. Kościuszki 40/42, 97-425 Zelów</v>
      </c>
      <c r="H75">
        <v>1501</v>
      </c>
      <c r="I75">
        <v>1501</v>
      </c>
      <c r="J75">
        <v>0</v>
      </c>
      <c r="K75">
        <v>1050</v>
      </c>
      <c r="L75">
        <v>735</v>
      </c>
      <c r="M75">
        <v>315</v>
      </c>
      <c r="N75">
        <v>315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315</v>
      </c>
      <c r="Z75">
        <v>0</v>
      </c>
      <c r="AA75">
        <v>0</v>
      </c>
      <c r="AB75">
        <v>315</v>
      </c>
      <c r="AC75">
        <v>10</v>
      </c>
      <c r="AD75">
        <v>305</v>
      </c>
      <c r="AE75">
        <v>1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1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5</v>
      </c>
      <c r="AR75">
        <v>4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1</v>
      </c>
      <c r="BB75">
        <v>5</v>
      </c>
      <c r="BC75">
        <v>26</v>
      </c>
      <c r="BD75">
        <v>9</v>
      </c>
      <c r="BE75">
        <v>2</v>
      </c>
      <c r="BF75">
        <v>1</v>
      </c>
      <c r="BG75">
        <v>0</v>
      </c>
      <c r="BH75">
        <v>0</v>
      </c>
      <c r="BI75">
        <v>0</v>
      </c>
      <c r="BJ75">
        <v>11</v>
      </c>
      <c r="BK75">
        <v>0</v>
      </c>
      <c r="BL75">
        <v>0</v>
      </c>
      <c r="BM75">
        <v>3</v>
      </c>
      <c r="BN75">
        <v>26</v>
      </c>
      <c r="BO75">
        <v>150</v>
      </c>
      <c r="BP75">
        <v>121</v>
      </c>
      <c r="BQ75">
        <v>5</v>
      </c>
      <c r="BR75">
        <v>5</v>
      </c>
      <c r="BS75">
        <v>6</v>
      </c>
      <c r="BT75">
        <v>2</v>
      </c>
      <c r="BU75">
        <v>1</v>
      </c>
      <c r="BV75">
        <v>1</v>
      </c>
      <c r="BW75">
        <v>6</v>
      </c>
      <c r="BX75">
        <v>1</v>
      </c>
      <c r="BY75">
        <v>2</v>
      </c>
      <c r="BZ75">
        <v>150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13</v>
      </c>
      <c r="CN75">
        <v>8</v>
      </c>
      <c r="CO75">
        <v>2</v>
      </c>
      <c r="CP75">
        <v>0</v>
      </c>
      <c r="CQ75">
        <v>0</v>
      </c>
      <c r="CR75">
        <v>0</v>
      </c>
      <c r="CS75">
        <v>0</v>
      </c>
      <c r="CT75">
        <v>3</v>
      </c>
      <c r="CU75">
        <v>0</v>
      </c>
      <c r="CV75">
        <v>0</v>
      </c>
      <c r="CW75">
        <v>0</v>
      </c>
      <c r="CX75">
        <v>13</v>
      </c>
      <c r="CY75">
        <v>10</v>
      </c>
      <c r="CZ75">
        <v>6</v>
      </c>
      <c r="DA75">
        <v>0</v>
      </c>
      <c r="DB75">
        <v>0</v>
      </c>
      <c r="DC75">
        <v>0</v>
      </c>
      <c r="DD75">
        <v>0</v>
      </c>
      <c r="DE75">
        <v>1</v>
      </c>
      <c r="DF75">
        <v>0</v>
      </c>
      <c r="DG75">
        <v>2</v>
      </c>
      <c r="DH75">
        <v>0</v>
      </c>
      <c r="DI75">
        <v>1</v>
      </c>
      <c r="DJ75">
        <v>10</v>
      </c>
      <c r="DK75">
        <v>82</v>
      </c>
      <c r="DL75">
        <v>53</v>
      </c>
      <c r="DM75">
        <v>11</v>
      </c>
      <c r="DN75">
        <v>0</v>
      </c>
      <c r="DO75">
        <v>3</v>
      </c>
      <c r="DP75">
        <v>3</v>
      </c>
      <c r="DQ75">
        <v>1</v>
      </c>
      <c r="DR75">
        <v>8</v>
      </c>
      <c r="DS75">
        <v>1</v>
      </c>
      <c r="DT75">
        <v>1</v>
      </c>
      <c r="DU75">
        <v>1</v>
      </c>
      <c r="DV75">
        <v>82</v>
      </c>
      <c r="DW75">
        <v>14</v>
      </c>
      <c r="DX75">
        <v>2</v>
      </c>
      <c r="DY75">
        <v>1</v>
      </c>
      <c r="DZ75">
        <v>0</v>
      </c>
      <c r="EA75">
        <v>0</v>
      </c>
      <c r="EB75">
        <v>6</v>
      </c>
      <c r="EC75">
        <v>4</v>
      </c>
      <c r="ED75">
        <v>0</v>
      </c>
      <c r="EE75">
        <v>1</v>
      </c>
      <c r="EF75">
        <v>0</v>
      </c>
      <c r="EG75">
        <v>0</v>
      </c>
      <c r="EH75">
        <v>14</v>
      </c>
      <c r="EI75">
        <v>2</v>
      </c>
      <c r="EJ75">
        <v>0</v>
      </c>
      <c r="EK75">
        <v>1</v>
      </c>
      <c r="EL75">
        <v>1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2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1</v>
      </c>
      <c r="FA75">
        <v>0</v>
      </c>
      <c r="FB75">
        <v>0</v>
      </c>
      <c r="FC75">
        <v>0</v>
      </c>
      <c r="FD75">
        <v>1</v>
      </c>
      <c r="FE75">
        <v>1</v>
      </c>
      <c r="FF75">
        <v>0</v>
      </c>
      <c r="FG75">
        <v>1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1</v>
      </c>
    </row>
    <row r="76" spans="1:172" ht="14.25">
      <c r="A76">
        <v>71</v>
      </c>
      <c r="B76" t="str">
        <f t="shared" si="11"/>
        <v>100108</v>
      </c>
      <c r="C76" t="str">
        <f t="shared" si="12"/>
        <v>Zelów</v>
      </c>
      <c r="D76" t="str">
        <f t="shared" si="13"/>
        <v>bełchatowski</v>
      </c>
      <c r="E76" t="str">
        <f t="shared" si="14"/>
        <v>łódzkie</v>
      </c>
      <c r="F76">
        <v>9</v>
      </c>
      <c r="G76" t="str">
        <f>"Szkoła Podstawowa Nr 4, ul. Żeromskiego 51, 97-425 Zelów"</f>
        <v>Szkoła Podstawowa Nr 4, ul. Żeromskiego 51, 97-425 Zelów</v>
      </c>
      <c r="H76">
        <v>1701</v>
      </c>
      <c r="I76">
        <v>1701</v>
      </c>
      <c r="J76">
        <v>0</v>
      </c>
      <c r="K76">
        <v>1200</v>
      </c>
      <c r="L76">
        <v>825</v>
      </c>
      <c r="M76">
        <v>375</v>
      </c>
      <c r="N76">
        <v>375</v>
      </c>
      <c r="O76">
        <v>0</v>
      </c>
      <c r="P76">
        <v>0</v>
      </c>
      <c r="Q76">
        <v>2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375</v>
      </c>
      <c r="Z76">
        <v>0</v>
      </c>
      <c r="AA76">
        <v>0</v>
      </c>
      <c r="AB76">
        <v>375</v>
      </c>
      <c r="AC76">
        <v>15</v>
      </c>
      <c r="AD76">
        <v>360</v>
      </c>
      <c r="AE76">
        <v>13</v>
      </c>
      <c r="AF76">
        <v>7</v>
      </c>
      <c r="AG76">
        <v>1</v>
      </c>
      <c r="AH76">
        <v>0</v>
      </c>
      <c r="AI76">
        <v>0</v>
      </c>
      <c r="AJ76">
        <v>0</v>
      </c>
      <c r="AK76">
        <v>1</v>
      </c>
      <c r="AL76">
        <v>1</v>
      </c>
      <c r="AM76">
        <v>1</v>
      </c>
      <c r="AN76">
        <v>0</v>
      </c>
      <c r="AO76">
        <v>2</v>
      </c>
      <c r="AP76">
        <v>13</v>
      </c>
      <c r="AQ76">
        <v>11</v>
      </c>
      <c r="AR76">
        <v>6</v>
      </c>
      <c r="AS76">
        <v>2</v>
      </c>
      <c r="AT76">
        <v>1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2</v>
      </c>
      <c r="BA76">
        <v>0</v>
      </c>
      <c r="BB76">
        <v>11</v>
      </c>
      <c r="BC76">
        <v>28</v>
      </c>
      <c r="BD76">
        <v>7</v>
      </c>
      <c r="BE76">
        <v>2</v>
      </c>
      <c r="BF76">
        <v>2</v>
      </c>
      <c r="BG76">
        <v>2</v>
      </c>
      <c r="BH76">
        <v>0</v>
      </c>
      <c r="BI76">
        <v>2</v>
      </c>
      <c r="BJ76">
        <v>10</v>
      </c>
      <c r="BK76">
        <v>0</v>
      </c>
      <c r="BL76">
        <v>1</v>
      </c>
      <c r="BM76">
        <v>2</v>
      </c>
      <c r="BN76">
        <v>28</v>
      </c>
      <c r="BO76">
        <v>159</v>
      </c>
      <c r="BP76">
        <v>123</v>
      </c>
      <c r="BQ76">
        <v>8</v>
      </c>
      <c r="BR76">
        <v>6</v>
      </c>
      <c r="BS76">
        <v>7</v>
      </c>
      <c r="BT76">
        <v>3</v>
      </c>
      <c r="BU76">
        <v>2</v>
      </c>
      <c r="BV76">
        <v>2</v>
      </c>
      <c r="BW76">
        <v>3</v>
      </c>
      <c r="BX76">
        <v>0</v>
      </c>
      <c r="BY76">
        <v>5</v>
      </c>
      <c r="BZ76">
        <v>159</v>
      </c>
      <c r="CA76">
        <v>3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1</v>
      </c>
      <c r="CH76">
        <v>1</v>
      </c>
      <c r="CI76">
        <v>1</v>
      </c>
      <c r="CJ76">
        <v>0</v>
      </c>
      <c r="CK76">
        <v>0</v>
      </c>
      <c r="CL76">
        <v>3</v>
      </c>
      <c r="CM76">
        <v>10</v>
      </c>
      <c r="CN76">
        <v>3</v>
      </c>
      <c r="CO76">
        <v>2</v>
      </c>
      <c r="CP76">
        <v>1</v>
      </c>
      <c r="CQ76">
        <v>0</v>
      </c>
      <c r="CR76">
        <v>0</v>
      </c>
      <c r="CS76">
        <v>0</v>
      </c>
      <c r="CT76">
        <v>3</v>
      </c>
      <c r="CU76">
        <v>0</v>
      </c>
      <c r="CV76">
        <v>0</v>
      </c>
      <c r="CW76">
        <v>1</v>
      </c>
      <c r="CX76">
        <v>10</v>
      </c>
      <c r="CY76">
        <v>25</v>
      </c>
      <c r="CZ76">
        <v>12</v>
      </c>
      <c r="DA76">
        <v>3</v>
      </c>
      <c r="DB76">
        <v>1</v>
      </c>
      <c r="DC76">
        <v>1</v>
      </c>
      <c r="DD76">
        <v>0</v>
      </c>
      <c r="DE76">
        <v>2</v>
      </c>
      <c r="DF76">
        <v>2</v>
      </c>
      <c r="DG76">
        <v>2</v>
      </c>
      <c r="DH76">
        <v>0</v>
      </c>
      <c r="DI76">
        <v>2</v>
      </c>
      <c r="DJ76">
        <v>25</v>
      </c>
      <c r="DK76">
        <v>94</v>
      </c>
      <c r="DL76">
        <v>48</v>
      </c>
      <c r="DM76">
        <v>11</v>
      </c>
      <c r="DN76">
        <v>0</v>
      </c>
      <c r="DO76">
        <v>1</v>
      </c>
      <c r="DP76">
        <v>2</v>
      </c>
      <c r="DQ76">
        <v>0</v>
      </c>
      <c r="DR76">
        <v>30</v>
      </c>
      <c r="DS76">
        <v>0</v>
      </c>
      <c r="DT76">
        <v>0</v>
      </c>
      <c r="DU76">
        <v>2</v>
      </c>
      <c r="DV76">
        <v>94</v>
      </c>
      <c r="DW76">
        <v>10</v>
      </c>
      <c r="DX76">
        <v>1</v>
      </c>
      <c r="DY76">
        <v>0</v>
      </c>
      <c r="DZ76">
        <v>0</v>
      </c>
      <c r="EA76">
        <v>0</v>
      </c>
      <c r="EB76">
        <v>4</v>
      </c>
      <c r="EC76">
        <v>4</v>
      </c>
      <c r="ED76">
        <v>0</v>
      </c>
      <c r="EE76">
        <v>1</v>
      </c>
      <c r="EF76">
        <v>0</v>
      </c>
      <c r="EG76">
        <v>0</v>
      </c>
      <c r="EH76">
        <v>10</v>
      </c>
      <c r="EI76">
        <v>4</v>
      </c>
      <c r="EJ76">
        <v>0</v>
      </c>
      <c r="EK76">
        <v>2</v>
      </c>
      <c r="EL76">
        <v>0</v>
      </c>
      <c r="EM76">
        <v>0</v>
      </c>
      <c r="EN76">
        <v>0</v>
      </c>
      <c r="EO76">
        <v>2</v>
      </c>
      <c r="EP76">
        <v>0</v>
      </c>
      <c r="EQ76">
        <v>0</v>
      </c>
      <c r="ER76">
        <v>4</v>
      </c>
      <c r="ES76">
        <v>2</v>
      </c>
      <c r="ET76">
        <v>2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2</v>
      </c>
      <c r="FE76">
        <v>1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1</v>
      </c>
      <c r="FP76">
        <v>1</v>
      </c>
    </row>
    <row r="77" spans="1:172" ht="14.25">
      <c r="A77">
        <v>72</v>
      </c>
      <c r="B77" t="str">
        <f t="shared" si="11"/>
        <v>100108</v>
      </c>
      <c r="C77" t="str">
        <f t="shared" si="12"/>
        <v>Zelów</v>
      </c>
      <c r="D77" t="str">
        <f t="shared" si="13"/>
        <v>bełchatowski</v>
      </c>
      <c r="E77" t="str">
        <f t="shared" si="14"/>
        <v>łódzkie</v>
      </c>
      <c r="F77">
        <v>10</v>
      </c>
      <c r="G77" t="str">
        <f>"Dom Pomocy Społecznej w Zabłotach, Zabłoty 19, 97-425 Zelów"</f>
        <v>Dom Pomocy Społecznej w Zabłotach, Zabłoty 19, 97-425 Zelów</v>
      </c>
      <c r="H77">
        <v>54</v>
      </c>
      <c r="I77">
        <v>54</v>
      </c>
      <c r="J77">
        <v>0</v>
      </c>
      <c r="K77">
        <v>53</v>
      </c>
      <c r="L77">
        <v>21</v>
      </c>
      <c r="M77">
        <v>32</v>
      </c>
      <c r="N77">
        <v>32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32</v>
      </c>
      <c r="Z77">
        <v>0</v>
      </c>
      <c r="AA77">
        <v>0</v>
      </c>
      <c r="AB77">
        <v>32</v>
      </c>
      <c r="AC77">
        <v>3</v>
      </c>
      <c r="AD77">
        <v>29</v>
      </c>
      <c r="AE77">
        <v>6</v>
      </c>
      <c r="AF77">
        <v>2</v>
      </c>
      <c r="AG77">
        <v>0</v>
      </c>
      <c r="AH77">
        <v>1</v>
      </c>
      <c r="AI77">
        <v>2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6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1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0</v>
      </c>
      <c r="BN77">
        <v>1</v>
      </c>
      <c r="BO77">
        <v>14</v>
      </c>
      <c r="BP77">
        <v>6</v>
      </c>
      <c r="BQ77">
        <v>2</v>
      </c>
      <c r="BR77">
        <v>0</v>
      </c>
      <c r="BS77">
        <v>2</v>
      </c>
      <c r="BT77">
        <v>3</v>
      </c>
      <c r="BU77">
        <v>0</v>
      </c>
      <c r="BV77">
        <v>0</v>
      </c>
      <c r="BW77">
        <v>0</v>
      </c>
      <c r="BX77">
        <v>0</v>
      </c>
      <c r="BY77">
        <v>1</v>
      </c>
      <c r="BZ77">
        <v>14</v>
      </c>
      <c r="CA77">
        <v>2</v>
      </c>
      <c r="CB77">
        <v>0</v>
      </c>
      <c r="CC77">
        <v>0</v>
      </c>
      <c r="CD77">
        <v>0</v>
      </c>
      <c r="CE77">
        <v>0</v>
      </c>
      <c r="CF77">
        <v>1</v>
      </c>
      <c r="CG77">
        <v>0</v>
      </c>
      <c r="CH77">
        <v>0</v>
      </c>
      <c r="CI77">
        <v>0</v>
      </c>
      <c r="CJ77">
        <v>1</v>
      </c>
      <c r="CK77">
        <v>0</v>
      </c>
      <c r="CL77">
        <v>2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1</v>
      </c>
      <c r="CU77">
        <v>0</v>
      </c>
      <c r="CV77">
        <v>0</v>
      </c>
      <c r="CW77">
        <v>0</v>
      </c>
      <c r="CX77">
        <v>2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1</v>
      </c>
      <c r="DL77">
        <v>1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1</v>
      </c>
      <c r="DW77">
        <v>1</v>
      </c>
      <c r="DX77">
        <v>0</v>
      </c>
      <c r="DY77">
        <v>0</v>
      </c>
      <c r="DZ77">
        <v>0</v>
      </c>
      <c r="EA77">
        <v>0</v>
      </c>
      <c r="EB77">
        <v>1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1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1</v>
      </c>
      <c r="ET77">
        <v>1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1</v>
      </c>
      <c r="FE77">
        <v>1</v>
      </c>
      <c r="FF77">
        <v>0</v>
      </c>
      <c r="FG77">
        <v>0</v>
      </c>
      <c r="FH77">
        <v>1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1</v>
      </c>
    </row>
    <row r="78" spans="1:172" ht="14.25">
      <c r="A78">
        <v>73</v>
      </c>
      <c r="B78" t="str">
        <f>"100701"</f>
        <v>100701</v>
      </c>
      <c r="C78" t="str">
        <f>"Białaczów"</f>
        <v>Białaczów</v>
      </c>
      <c r="D78" t="str">
        <f aca="true" t="shared" si="15" ref="D78:D109">"opoczyński"</f>
        <v>opoczyński</v>
      </c>
      <c r="E78" t="str">
        <f t="shared" si="14"/>
        <v>łódzkie</v>
      </c>
      <c r="F78">
        <v>1</v>
      </c>
      <c r="G78" t="str">
        <f>"Świetlica Wiejska, ul. Piotrkowska 6, 26-307 Białaczów"</f>
        <v>Świetlica Wiejska, ul. Piotrkowska 6, 26-307 Białaczów</v>
      </c>
      <c r="H78">
        <v>980</v>
      </c>
      <c r="I78">
        <v>980</v>
      </c>
      <c r="J78">
        <v>0</v>
      </c>
      <c r="K78">
        <v>690</v>
      </c>
      <c r="L78">
        <v>492</v>
      </c>
      <c r="M78">
        <v>198</v>
      </c>
      <c r="N78">
        <v>198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198</v>
      </c>
      <c r="Z78">
        <v>0</v>
      </c>
      <c r="AA78">
        <v>0</v>
      </c>
      <c r="AB78">
        <v>198</v>
      </c>
      <c r="AC78">
        <v>6</v>
      </c>
      <c r="AD78">
        <v>192</v>
      </c>
      <c r="AE78">
        <v>1</v>
      </c>
      <c r="AF78">
        <v>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</v>
      </c>
      <c r="AQ78">
        <v>2</v>
      </c>
      <c r="AR78">
        <v>1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</v>
      </c>
      <c r="BB78">
        <v>2</v>
      </c>
      <c r="BC78">
        <v>7</v>
      </c>
      <c r="BD78">
        <v>2</v>
      </c>
      <c r="BE78">
        <v>1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4</v>
      </c>
      <c r="BN78">
        <v>7</v>
      </c>
      <c r="BO78">
        <v>91</v>
      </c>
      <c r="BP78">
        <v>56</v>
      </c>
      <c r="BQ78">
        <v>4</v>
      </c>
      <c r="BR78">
        <v>0</v>
      </c>
      <c r="BS78">
        <v>2</v>
      </c>
      <c r="BT78">
        <v>1</v>
      </c>
      <c r="BU78">
        <v>28</v>
      </c>
      <c r="BV78">
        <v>0</v>
      </c>
      <c r="BW78">
        <v>0</v>
      </c>
      <c r="BX78">
        <v>0</v>
      </c>
      <c r="BY78">
        <v>0</v>
      </c>
      <c r="BZ78">
        <v>91</v>
      </c>
      <c r="CA78">
        <v>4</v>
      </c>
      <c r="CB78">
        <v>2</v>
      </c>
      <c r="CC78">
        <v>0</v>
      </c>
      <c r="CD78">
        <v>0</v>
      </c>
      <c r="CE78">
        <v>0</v>
      </c>
      <c r="CF78">
        <v>0</v>
      </c>
      <c r="CG78">
        <v>1</v>
      </c>
      <c r="CH78">
        <v>0</v>
      </c>
      <c r="CI78">
        <v>0</v>
      </c>
      <c r="CJ78">
        <v>1</v>
      </c>
      <c r="CK78">
        <v>0</v>
      </c>
      <c r="CL78">
        <v>4</v>
      </c>
      <c r="CM78">
        <v>2</v>
      </c>
      <c r="CN78">
        <v>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1</v>
      </c>
      <c r="CX78">
        <v>2</v>
      </c>
      <c r="CY78">
        <v>9</v>
      </c>
      <c r="CZ78">
        <v>3</v>
      </c>
      <c r="DA78">
        <v>1</v>
      </c>
      <c r="DB78">
        <v>0</v>
      </c>
      <c r="DC78">
        <v>1</v>
      </c>
      <c r="DD78">
        <v>0</v>
      </c>
      <c r="DE78">
        <v>0</v>
      </c>
      <c r="DF78">
        <v>2</v>
      </c>
      <c r="DG78">
        <v>0</v>
      </c>
      <c r="DH78">
        <v>2</v>
      </c>
      <c r="DI78">
        <v>0</v>
      </c>
      <c r="DJ78">
        <v>9</v>
      </c>
      <c r="DK78">
        <v>35</v>
      </c>
      <c r="DL78">
        <v>28</v>
      </c>
      <c r="DM78">
        <v>4</v>
      </c>
      <c r="DN78">
        <v>0</v>
      </c>
      <c r="DO78">
        <v>0</v>
      </c>
      <c r="DP78">
        <v>1</v>
      </c>
      <c r="DQ78">
        <v>1</v>
      </c>
      <c r="DR78">
        <v>0</v>
      </c>
      <c r="DS78">
        <v>0</v>
      </c>
      <c r="DT78">
        <v>0</v>
      </c>
      <c r="DU78">
        <v>1</v>
      </c>
      <c r="DV78">
        <v>35</v>
      </c>
      <c r="DW78">
        <v>39</v>
      </c>
      <c r="DX78">
        <v>0</v>
      </c>
      <c r="DY78">
        <v>12</v>
      </c>
      <c r="DZ78">
        <v>0</v>
      </c>
      <c r="EA78">
        <v>0</v>
      </c>
      <c r="EB78">
        <v>2</v>
      </c>
      <c r="EC78">
        <v>0</v>
      </c>
      <c r="ED78">
        <v>0</v>
      </c>
      <c r="EE78">
        <v>0</v>
      </c>
      <c r="EF78">
        <v>0</v>
      </c>
      <c r="EG78">
        <v>25</v>
      </c>
      <c r="EH78">
        <v>39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2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1</v>
      </c>
      <c r="FO78">
        <v>1</v>
      </c>
      <c r="FP78">
        <v>2</v>
      </c>
    </row>
    <row r="79" spans="1:172" ht="14.25">
      <c r="A79">
        <v>74</v>
      </c>
      <c r="B79" t="str">
        <f>"100701"</f>
        <v>100701</v>
      </c>
      <c r="C79" t="str">
        <f>"Białaczów"</f>
        <v>Białaczów</v>
      </c>
      <c r="D79" t="str">
        <f t="shared" si="15"/>
        <v>opoczyński</v>
      </c>
      <c r="E79" t="str">
        <f t="shared" si="14"/>
        <v>łódzkie</v>
      </c>
      <c r="F79">
        <v>2</v>
      </c>
      <c r="G79" t="str">
        <f>"Szkoła Podstawowa, ul. Szkolna 36, 26-307 Białaczów"</f>
        <v>Szkoła Podstawowa, ul. Szkolna 36, 26-307 Białaczów</v>
      </c>
      <c r="H79">
        <v>661</v>
      </c>
      <c r="I79">
        <v>661</v>
      </c>
      <c r="J79">
        <v>0</v>
      </c>
      <c r="K79">
        <v>460</v>
      </c>
      <c r="L79">
        <v>389</v>
      </c>
      <c r="M79">
        <v>71</v>
      </c>
      <c r="N79">
        <v>71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71</v>
      </c>
      <c r="Z79">
        <v>0</v>
      </c>
      <c r="AA79">
        <v>0</v>
      </c>
      <c r="AB79">
        <v>71</v>
      </c>
      <c r="AC79">
        <v>3</v>
      </c>
      <c r="AD79">
        <v>68</v>
      </c>
      <c r="AE79">
        <v>1</v>
      </c>
      <c r="AF79">
        <v>1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1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4</v>
      </c>
      <c r="BD79">
        <v>2</v>
      </c>
      <c r="BE79">
        <v>2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4</v>
      </c>
      <c r="BO79">
        <v>35</v>
      </c>
      <c r="BP79">
        <v>18</v>
      </c>
      <c r="BQ79">
        <v>2</v>
      </c>
      <c r="BR79">
        <v>0</v>
      </c>
      <c r="BS79">
        <v>0</v>
      </c>
      <c r="BT79">
        <v>0</v>
      </c>
      <c r="BU79">
        <v>14</v>
      </c>
      <c r="BV79">
        <v>0</v>
      </c>
      <c r="BW79">
        <v>0</v>
      </c>
      <c r="BX79">
        <v>0</v>
      </c>
      <c r="BY79">
        <v>1</v>
      </c>
      <c r="BZ79">
        <v>35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2</v>
      </c>
      <c r="CZ79">
        <v>2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2</v>
      </c>
      <c r="DK79">
        <v>7</v>
      </c>
      <c r="DL79">
        <v>2</v>
      </c>
      <c r="DM79">
        <v>4</v>
      </c>
      <c r="DN79">
        <v>0</v>
      </c>
      <c r="DO79">
        <v>0</v>
      </c>
      <c r="DP79">
        <v>1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7</v>
      </c>
      <c r="DW79">
        <v>19</v>
      </c>
      <c r="DX79">
        <v>0</v>
      </c>
      <c r="DY79">
        <v>5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14</v>
      </c>
      <c r="EH79">
        <v>19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</row>
    <row r="80" spans="1:172" ht="14.25">
      <c r="A80">
        <v>75</v>
      </c>
      <c r="B80" t="str">
        <f>"100701"</f>
        <v>100701</v>
      </c>
      <c r="C80" t="str">
        <f>"Białaczów"</f>
        <v>Białaczów</v>
      </c>
      <c r="D80" t="str">
        <f t="shared" si="15"/>
        <v>opoczyński</v>
      </c>
      <c r="E80" t="str">
        <f t="shared" si="14"/>
        <v>łódzkie</v>
      </c>
      <c r="F80">
        <v>3</v>
      </c>
      <c r="G80" t="str">
        <f>"Szkoła Podstawowa, Petrykozy 1, 26-307 Białaczów"</f>
        <v>Szkoła Podstawowa, Petrykozy 1, 26-307 Białaczów</v>
      </c>
      <c r="H80">
        <v>922</v>
      </c>
      <c r="I80">
        <v>922</v>
      </c>
      <c r="J80">
        <v>0</v>
      </c>
      <c r="K80">
        <v>650</v>
      </c>
      <c r="L80">
        <v>463</v>
      </c>
      <c r="M80">
        <v>187</v>
      </c>
      <c r="N80">
        <v>187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187</v>
      </c>
      <c r="Z80">
        <v>0</v>
      </c>
      <c r="AA80">
        <v>0</v>
      </c>
      <c r="AB80">
        <v>187</v>
      </c>
      <c r="AC80">
        <v>6</v>
      </c>
      <c r="AD80">
        <v>181</v>
      </c>
      <c r="AE80">
        <v>2</v>
      </c>
      <c r="AF80">
        <v>1</v>
      </c>
      <c r="AG80">
        <v>0</v>
      </c>
      <c r="AH80">
        <v>0</v>
      </c>
      <c r="AI80">
        <v>0</v>
      </c>
      <c r="AJ80">
        <v>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2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1</v>
      </c>
      <c r="AX80">
        <v>0</v>
      </c>
      <c r="AY80">
        <v>0</v>
      </c>
      <c r="AZ80">
        <v>0</v>
      </c>
      <c r="BA80">
        <v>0</v>
      </c>
      <c r="BB80">
        <v>1</v>
      </c>
      <c r="BC80">
        <v>15</v>
      </c>
      <c r="BD80">
        <v>6</v>
      </c>
      <c r="BE80">
        <v>2</v>
      </c>
      <c r="BF80">
        <v>0</v>
      </c>
      <c r="BG80">
        <v>1</v>
      </c>
      <c r="BH80">
        <v>4</v>
      </c>
      <c r="BI80">
        <v>1</v>
      </c>
      <c r="BJ80">
        <v>0</v>
      </c>
      <c r="BK80">
        <v>0</v>
      </c>
      <c r="BL80">
        <v>0</v>
      </c>
      <c r="BM80">
        <v>1</v>
      </c>
      <c r="BN80">
        <v>15</v>
      </c>
      <c r="BO80">
        <v>88</v>
      </c>
      <c r="BP80">
        <v>41</v>
      </c>
      <c r="BQ80">
        <v>1</v>
      </c>
      <c r="BR80">
        <v>0</v>
      </c>
      <c r="BS80">
        <v>0</v>
      </c>
      <c r="BT80">
        <v>1</v>
      </c>
      <c r="BU80">
        <v>45</v>
      </c>
      <c r="BV80">
        <v>0</v>
      </c>
      <c r="BW80">
        <v>0</v>
      </c>
      <c r="BX80">
        <v>0</v>
      </c>
      <c r="BY80">
        <v>0</v>
      </c>
      <c r="BZ80">
        <v>88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6</v>
      </c>
      <c r="CN80">
        <v>3</v>
      </c>
      <c r="CO80">
        <v>2</v>
      </c>
      <c r="CP80">
        <v>0</v>
      </c>
      <c r="CQ80">
        <v>1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6</v>
      </c>
      <c r="CY80">
        <v>13</v>
      </c>
      <c r="CZ80">
        <v>12</v>
      </c>
      <c r="DA80">
        <v>1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13</v>
      </c>
      <c r="DK80">
        <v>24</v>
      </c>
      <c r="DL80">
        <v>14</v>
      </c>
      <c r="DM80">
        <v>7</v>
      </c>
      <c r="DN80">
        <v>1</v>
      </c>
      <c r="DO80">
        <v>0</v>
      </c>
      <c r="DP80">
        <v>0</v>
      </c>
      <c r="DQ80">
        <v>0</v>
      </c>
      <c r="DR80">
        <v>0</v>
      </c>
      <c r="DS80">
        <v>1</v>
      </c>
      <c r="DT80">
        <v>0</v>
      </c>
      <c r="DU80">
        <v>1</v>
      </c>
      <c r="DV80">
        <v>24</v>
      </c>
      <c r="DW80">
        <v>32</v>
      </c>
      <c r="DX80">
        <v>7</v>
      </c>
      <c r="DY80">
        <v>3</v>
      </c>
      <c r="DZ80">
        <v>0</v>
      </c>
      <c r="EA80">
        <v>0</v>
      </c>
      <c r="EB80">
        <v>4</v>
      </c>
      <c r="EC80">
        <v>1</v>
      </c>
      <c r="ED80">
        <v>0</v>
      </c>
      <c r="EE80">
        <v>0</v>
      </c>
      <c r="EF80">
        <v>0</v>
      </c>
      <c r="EG80">
        <v>17</v>
      </c>
      <c r="EH80">
        <v>32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</row>
    <row r="81" spans="1:172" ht="14.25">
      <c r="A81">
        <v>76</v>
      </c>
      <c r="B81" t="str">
        <f>"100701"</f>
        <v>100701</v>
      </c>
      <c r="C81" t="str">
        <f>"Białaczów"</f>
        <v>Białaczów</v>
      </c>
      <c r="D81" t="str">
        <f t="shared" si="15"/>
        <v>opoczyński</v>
      </c>
      <c r="E81" t="str">
        <f t="shared" si="14"/>
        <v>łódzkie</v>
      </c>
      <c r="F81">
        <v>4</v>
      </c>
      <c r="G81" t="str">
        <f>"Szkoła Podstawowa, Skronina 156, 26-307 Białaczów"</f>
        <v>Szkoła Podstawowa, Skronina 156, 26-307 Białaczów</v>
      </c>
      <c r="H81">
        <v>965</v>
      </c>
      <c r="I81">
        <v>965</v>
      </c>
      <c r="J81">
        <v>0</v>
      </c>
      <c r="K81">
        <v>680</v>
      </c>
      <c r="L81">
        <v>561</v>
      </c>
      <c r="M81">
        <v>119</v>
      </c>
      <c r="N81">
        <v>119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119</v>
      </c>
      <c r="Z81">
        <v>0</v>
      </c>
      <c r="AA81">
        <v>0</v>
      </c>
      <c r="AB81">
        <v>119</v>
      </c>
      <c r="AC81">
        <v>2</v>
      </c>
      <c r="AD81">
        <v>117</v>
      </c>
      <c r="AE81">
        <v>5</v>
      </c>
      <c r="AF81">
        <v>1</v>
      </c>
      <c r="AG81">
        <v>0</v>
      </c>
      <c r="AH81">
        <v>2</v>
      </c>
      <c r="AI81">
        <v>1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1</v>
      </c>
      <c r="AP81">
        <v>5</v>
      </c>
      <c r="AQ81">
        <v>3</v>
      </c>
      <c r="AR81">
        <v>3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82</v>
      </c>
      <c r="BP81">
        <v>26</v>
      </c>
      <c r="BQ81">
        <v>10</v>
      </c>
      <c r="BR81">
        <v>1</v>
      </c>
      <c r="BS81">
        <v>1</v>
      </c>
      <c r="BT81">
        <v>0</v>
      </c>
      <c r="BU81">
        <v>43</v>
      </c>
      <c r="BV81">
        <v>1</v>
      </c>
      <c r="BW81">
        <v>0</v>
      </c>
      <c r="BX81">
        <v>0</v>
      </c>
      <c r="BY81">
        <v>0</v>
      </c>
      <c r="BZ81">
        <v>82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7</v>
      </c>
      <c r="CZ81">
        <v>5</v>
      </c>
      <c r="DA81">
        <v>0</v>
      </c>
      <c r="DB81">
        <v>0</v>
      </c>
      <c r="DC81">
        <v>0</v>
      </c>
      <c r="DD81">
        <v>0</v>
      </c>
      <c r="DE81">
        <v>1</v>
      </c>
      <c r="DF81">
        <v>0</v>
      </c>
      <c r="DG81">
        <v>1</v>
      </c>
      <c r="DH81">
        <v>0</v>
      </c>
      <c r="DI81">
        <v>0</v>
      </c>
      <c r="DJ81">
        <v>7</v>
      </c>
      <c r="DK81">
        <v>9</v>
      </c>
      <c r="DL81">
        <v>8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1</v>
      </c>
      <c r="DT81">
        <v>0</v>
      </c>
      <c r="DU81">
        <v>0</v>
      </c>
      <c r="DV81">
        <v>9</v>
      </c>
      <c r="DW81">
        <v>11</v>
      </c>
      <c r="DX81">
        <v>0</v>
      </c>
      <c r="DY81">
        <v>6</v>
      </c>
      <c r="DZ81">
        <v>1</v>
      </c>
      <c r="EA81">
        <v>0</v>
      </c>
      <c r="EB81">
        <v>2</v>
      </c>
      <c r="EC81">
        <v>0</v>
      </c>
      <c r="ED81">
        <v>0</v>
      </c>
      <c r="EE81">
        <v>0</v>
      </c>
      <c r="EF81">
        <v>0</v>
      </c>
      <c r="EG81">
        <v>2</v>
      </c>
      <c r="EH81">
        <v>11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</row>
    <row r="82" spans="1:172" ht="14.25">
      <c r="A82">
        <v>77</v>
      </c>
      <c r="B82" t="str">
        <f>"100701"</f>
        <v>100701</v>
      </c>
      <c r="C82" t="str">
        <f>"Białaczów"</f>
        <v>Białaczów</v>
      </c>
      <c r="D82" t="str">
        <f t="shared" si="15"/>
        <v>opoczyński</v>
      </c>
      <c r="E82" t="str">
        <f t="shared" si="14"/>
        <v>łódzkie</v>
      </c>
      <c r="F82">
        <v>5</v>
      </c>
      <c r="G82" t="str">
        <f>"Szkoła Podstawowa, Miedzna Drewniana 259, 26-307 Białaczów"</f>
        <v>Szkoła Podstawowa, Miedzna Drewniana 259, 26-307 Białaczów</v>
      </c>
      <c r="H82">
        <v>1251</v>
      </c>
      <c r="I82">
        <v>1251</v>
      </c>
      <c r="J82">
        <v>0</v>
      </c>
      <c r="K82">
        <v>880</v>
      </c>
      <c r="L82">
        <v>611</v>
      </c>
      <c r="M82">
        <v>269</v>
      </c>
      <c r="N82">
        <v>269</v>
      </c>
      <c r="O82">
        <v>0</v>
      </c>
      <c r="P82">
        <v>0</v>
      </c>
      <c r="Q82">
        <v>2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269</v>
      </c>
      <c r="Z82">
        <v>0</v>
      </c>
      <c r="AA82">
        <v>0</v>
      </c>
      <c r="AB82">
        <v>269</v>
      </c>
      <c r="AC82">
        <v>5</v>
      </c>
      <c r="AD82">
        <v>264</v>
      </c>
      <c r="AE82">
        <v>3</v>
      </c>
      <c r="AF82">
        <v>2</v>
      </c>
      <c r="AG82">
        <v>1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3</v>
      </c>
      <c r="AQ82">
        <v>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1</v>
      </c>
      <c r="BB82">
        <v>1</v>
      </c>
      <c r="BC82">
        <v>9</v>
      </c>
      <c r="BD82">
        <v>4</v>
      </c>
      <c r="BE82">
        <v>0</v>
      </c>
      <c r="BF82">
        <v>0</v>
      </c>
      <c r="BG82">
        <v>0</v>
      </c>
      <c r="BH82">
        <v>3</v>
      </c>
      <c r="BI82">
        <v>0</v>
      </c>
      <c r="BJ82">
        <v>0</v>
      </c>
      <c r="BK82">
        <v>0</v>
      </c>
      <c r="BL82">
        <v>0</v>
      </c>
      <c r="BM82">
        <v>2</v>
      </c>
      <c r="BN82">
        <v>9</v>
      </c>
      <c r="BO82">
        <v>127</v>
      </c>
      <c r="BP82">
        <v>75</v>
      </c>
      <c r="BQ82">
        <v>5</v>
      </c>
      <c r="BR82">
        <v>0</v>
      </c>
      <c r="BS82">
        <v>0</v>
      </c>
      <c r="BT82">
        <v>0</v>
      </c>
      <c r="BU82">
        <v>47</v>
      </c>
      <c r="BV82">
        <v>0</v>
      </c>
      <c r="BW82">
        <v>0</v>
      </c>
      <c r="BX82">
        <v>0</v>
      </c>
      <c r="BY82">
        <v>0</v>
      </c>
      <c r="BZ82">
        <v>127</v>
      </c>
      <c r="CA82">
        <v>6</v>
      </c>
      <c r="CB82">
        <v>0</v>
      </c>
      <c r="CC82">
        <v>1</v>
      </c>
      <c r="CD82">
        <v>0</v>
      </c>
      <c r="CE82">
        <v>0</v>
      </c>
      <c r="CF82">
        <v>0</v>
      </c>
      <c r="CG82">
        <v>4</v>
      </c>
      <c r="CH82">
        <v>0</v>
      </c>
      <c r="CI82">
        <v>1</v>
      </c>
      <c r="CJ82">
        <v>0</v>
      </c>
      <c r="CK82">
        <v>0</v>
      </c>
      <c r="CL82">
        <v>6</v>
      </c>
      <c r="CM82">
        <v>4</v>
      </c>
      <c r="CN82">
        <v>3</v>
      </c>
      <c r="CO82">
        <v>0</v>
      </c>
      <c r="CP82">
        <v>0</v>
      </c>
      <c r="CQ82">
        <v>1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4</v>
      </c>
      <c r="CY82">
        <v>13</v>
      </c>
      <c r="CZ82">
        <v>9</v>
      </c>
      <c r="DA82">
        <v>0</v>
      </c>
      <c r="DB82">
        <v>1</v>
      </c>
      <c r="DC82">
        <v>1</v>
      </c>
      <c r="DD82">
        <v>2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13</v>
      </c>
      <c r="DK82">
        <v>15</v>
      </c>
      <c r="DL82">
        <v>11</v>
      </c>
      <c r="DM82">
        <v>3</v>
      </c>
      <c r="DN82">
        <v>1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15</v>
      </c>
      <c r="DW82">
        <v>84</v>
      </c>
      <c r="DX82">
        <v>1</v>
      </c>
      <c r="DY82">
        <v>27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56</v>
      </c>
      <c r="EH82">
        <v>84</v>
      </c>
      <c r="EI82">
        <v>1</v>
      </c>
      <c r="EJ82">
        <v>0</v>
      </c>
      <c r="EK82">
        <v>1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1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1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1</v>
      </c>
      <c r="FP82">
        <v>1</v>
      </c>
    </row>
    <row r="83" spans="1:172" ht="14.25">
      <c r="A83">
        <v>78</v>
      </c>
      <c r="B83" t="str">
        <f aca="true" t="shared" si="16" ref="B83:B95">"100702"</f>
        <v>100702</v>
      </c>
      <c r="C83" t="str">
        <f aca="true" t="shared" si="17" ref="C83:C95">"Drzewica"</f>
        <v>Drzewica</v>
      </c>
      <c r="D83" t="str">
        <f t="shared" si="15"/>
        <v>opoczyński</v>
      </c>
      <c r="E83" t="str">
        <f t="shared" si="14"/>
        <v>łódzkie</v>
      </c>
      <c r="F83">
        <v>1</v>
      </c>
      <c r="G83" t="str">
        <f>"Szkoła Podstawowa w Drzewicy, ul. Stanisława Staszica 7, 26-340 Drzewica"</f>
        <v>Szkoła Podstawowa w Drzewicy, ul. Stanisława Staszica 7, 26-340 Drzewica</v>
      </c>
      <c r="H83">
        <v>1230</v>
      </c>
      <c r="I83">
        <v>1230</v>
      </c>
      <c r="J83">
        <v>0</v>
      </c>
      <c r="K83">
        <v>870</v>
      </c>
      <c r="L83">
        <v>610</v>
      </c>
      <c r="M83">
        <v>260</v>
      </c>
      <c r="N83">
        <v>260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260</v>
      </c>
      <c r="Z83">
        <v>0</v>
      </c>
      <c r="AA83">
        <v>0</v>
      </c>
      <c r="AB83">
        <v>260</v>
      </c>
      <c r="AC83">
        <v>13</v>
      </c>
      <c r="AD83">
        <v>247</v>
      </c>
      <c r="AE83">
        <v>7</v>
      </c>
      <c r="AF83">
        <v>6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7</v>
      </c>
      <c r="AQ83">
        <v>1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1</v>
      </c>
      <c r="BC83">
        <v>21</v>
      </c>
      <c r="BD83">
        <v>7</v>
      </c>
      <c r="BE83">
        <v>7</v>
      </c>
      <c r="BF83">
        <v>1</v>
      </c>
      <c r="BG83">
        <v>0</v>
      </c>
      <c r="BH83">
        <v>0</v>
      </c>
      <c r="BI83">
        <v>0</v>
      </c>
      <c r="BJ83">
        <v>2</v>
      </c>
      <c r="BK83">
        <v>0</v>
      </c>
      <c r="BL83">
        <v>1</v>
      </c>
      <c r="BM83">
        <v>3</v>
      </c>
      <c r="BN83">
        <v>21</v>
      </c>
      <c r="BO83">
        <v>118</v>
      </c>
      <c r="BP83">
        <v>81</v>
      </c>
      <c r="BQ83">
        <v>1</v>
      </c>
      <c r="BR83">
        <v>3</v>
      </c>
      <c r="BS83">
        <v>1</v>
      </c>
      <c r="BT83">
        <v>1</v>
      </c>
      <c r="BU83">
        <v>28</v>
      </c>
      <c r="BV83">
        <v>2</v>
      </c>
      <c r="BW83">
        <v>0</v>
      </c>
      <c r="BX83">
        <v>1</v>
      </c>
      <c r="BY83">
        <v>0</v>
      </c>
      <c r="BZ83">
        <v>118</v>
      </c>
      <c r="CA83">
        <v>8</v>
      </c>
      <c r="CB83">
        <v>1</v>
      </c>
      <c r="CC83">
        <v>3</v>
      </c>
      <c r="CD83">
        <v>2</v>
      </c>
      <c r="CE83">
        <v>0</v>
      </c>
      <c r="CF83">
        <v>1</v>
      </c>
      <c r="CG83">
        <v>1</v>
      </c>
      <c r="CH83">
        <v>0</v>
      </c>
      <c r="CI83">
        <v>0</v>
      </c>
      <c r="CJ83">
        <v>0</v>
      </c>
      <c r="CK83">
        <v>0</v>
      </c>
      <c r="CL83">
        <v>8</v>
      </c>
      <c r="CM83">
        <v>4</v>
      </c>
      <c r="CN83">
        <v>3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4</v>
      </c>
      <c r="CY83">
        <v>17</v>
      </c>
      <c r="CZ83">
        <v>11</v>
      </c>
      <c r="DA83">
        <v>4</v>
      </c>
      <c r="DB83">
        <v>0</v>
      </c>
      <c r="DC83">
        <v>1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1</v>
      </c>
      <c r="DJ83">
        <v>17</v>
      </c>
      <c r="DK83">
        <v>46</v>
      </c>
      <c r="DL83">
        <v>24</v>
      </c>
      <c r="DM83">
        <v>13</v>
      </c>
      <c r="DN83">
        <v>1</v>
      </c>
      <c r="DO83">
        <v>1</v>
      </c>
      <c r="DP83">
        <v>2</v>
      </c>
      <c r="DQ83">
        <v>1</v>
      </c>
      <c r="DR83">
        <v>0</v>
      </c>
      <c r="DS83">
        <v>0</v>
      </c>
      <c r="DT83">
        <v>4</v>
      </c>
      <c r="DU83">
        <v>0</v>
      </c>
      <c r="DV83">
        <v>46</v>
      </c>
      <c r="DW83">
        <v>23</v>
      </c>
      <c r="DX83">
        <v>0</v>
      </c>
      <c r="DY83">
        <v>12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3</v>
      </c>
      <c r="EF83">
        <v>1</v>
      </c>
      <c r="EG83">
        <v>7</v>
      </c>
      <c r="EH83">
        <v>23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2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2</v>
      </c>
      <c r="FP83">
        <v>2</v>
      </c>
    </row>
    <row r="84" spans="1:172" ht="14.25">
      <c r="A84">
        <v>79</v>
      </c>
      <c r="B84" t="str">
        <f t="shared" si="16"/>
        <v>100702</v>
      </c>
      <c r="C84" t="str">
        <f t="shared" si="17"/>
        <v>Drzewica</v>
      </c>
      <c r="D84" t="str">
        <f t="shared" si="15"/>
        <v>opoczyński</v>
      </c>
      <c r="E84" t="str">
        <f t="shared" si="14"/>
        <v>łódzkie</v>
      </c>
      <c r="F84">
        <v>2</v>
      </c>
      <c r="G84" t="str">
        <f>"Przedszkole Samorządowe w Drzewicy, ul. Stawowa 58, 26-340 Drzewica"</f>
        <v>Przedszkole Samorządowe w Drzewicy, ul. Stawowa 58, 26-340 Drzewica</v>
      </c>
      <c r="H84">
        <v>728</v>
      </c>
      <c r="I84">
        <v>728</v>
      </c>
      <c r="J84">
        <v>0</v>
      </c>
      <c r="K84">
        <v>510</v>
      </c>
      <c r="L84">
        <v>366</v>
      </c>
      <c r="M84">
        <v>144</v>
      </c>
      <c r="N84">
        <v>144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144</v>
      </c>
      <c r="Z84">
        <v>0</v>
      </c>
      <c r="AA84">
        <v>0</v>
      </c>
      <c r="AB84">
        <v>144</v>
      </c>
      <c r="AC84">
        <v>7</v>
      </c>
      <c r="AD84">
        <v>137</v>
      </c>
      <c r="AE84">
        <v>3</v>
      </c>
      <c r="AF84">
        <v>1</v>
      </c>
      <c r="AG84">
        <v>0</v>
      </c>
      <c r="AH84">
        <v>1</v>
      </c>
      <c r="AI84">
        <v>0</v>
      </c>
      <c r="AJ84">
        <v>0</v>
      </c>
      <c r="AK84">
        <v>0</v>
      </c>
      <c r="AL84">
        <v>0</v>
      </c>
      <c r="AM84">
        <v>1</v>
      </c>
      <c r="AN84">
        <v>0</v>
      </c>
      <c r="AO84">
        <v>0</v>
      </c>
      <c r="AP84">
        <v>3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7</v>
      </c>
      <c r="BD84">
        <v>3</v>
      </c>
      <c r="BE84">
        <v>1</v>
      </c>
      <c r="BF84">
        <v>2</v>
      </c>
      <c r="BG84">
        <v>0</v>
      </c>
      <c r="BH84">
        <v>0</v>
      </c>
      <c r="BI84">
        <v>1</v>
      </c>
      <c r="BJ84">
        <v>0</v>
      </c>
      <c r="BK84">
        <v>0</v>
      </c>
      <c r="BL84">
        <v>0</v>
      </c>
      <c r="BM84">
        <v>0</v>
      </c>
      <c r="BN84">
        <v>7</v>
      </c>
      <c r="BO84">
        <v>75</v>
      </c>
      <c r="BP84">
        <v>55</v>
      </c>
      <c r="BQ84">
        <v>0</v>
      </c>
      <c r="BR84">
        <v>0</v>
      </c>
      <c r="BS84">
        <v>1</v>
      </c>
      <c r="BT84">
        <v>0</v>
      </c>
      <c r="BU84">
        <v>18</v>
      </c>
      <c r="BV84">
        <v>0</v>
      </c>
      <c r="BW84">
        <v>1</v>
      </c>
      <c r="BX84">
        <v>0</v>
      </c>
      <c r="BY84">
        <v>0</v>
      </c>
      <c r="BZ84">
        <v>75</v>
      </c>
      <c r="CA84">
        <v>6</v>
      </c>
      <c r="CB84">
        <v>1</v>
      </c>
      <c r="CC84">
        <v>0</v>
      </c>
      <c r="CD84">
        <v>1</v>
      </c>
      <c r="CE84">
        <v>1</v>
      </c>
      <c r="CF84">
        <v>0</v>
      </c>
      <c r="CG84">
        <v>3</v>
      </c>
      <c r="CH84">
        <v>0</v>
      </c>
      <c r="CI84">
        <v>0</v>
      </c>
      <c r="CJ84">
        <v>0</v>
      </c>
      <c r="CK84">
        <v>0</v>
      </c>
      <c r="CL84">
        <v>6</v>
      </c>
      <c r="CM84">
        <v>5</v>
      </c>
      <c r="CN84">
        <v>1</v>
      </c>
      <c r="CO84">
        <v>1</v>
      </c>
      <c r="CP84">
        <v>1</v>
      </c>
      <c r="CQ84">
        <v>0</v>
      </c>
      <c r="CR84">
        <v>2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5</v>
      </c>
      <c r="CY84">
        <v>1</v>
      </c>
      <c r="CZ84">
        <v>0</v>
      </c>
      <c r="DA84">
        <v>1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1</v>
      </c>
      <c r="DK84">
        <v>27</v>
      </c>
      <c r="DL84">
        <v>18</v>
      </c>
      <c r="DM84">
        <v>3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6</v>
      </c>
      <c r="DU84">
        <v>0</v>
      </c>
      <c r="DV84">
        <v>27</v>
      </c>
      <c r="DW84">
        <v>10</v>
      </c>
      <c r="DX84">
        <v>1</v>
      </c>
      <c r="DY84">
        <v>6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1</v>
      </c>
      <c r="EG84">
        <v>2</v>
      </c>
      <c r="EH84">
        <v>10</v>
      </c>
      <c r="EI84">
        <v>1</v>
      </c>
      <c r="EJ84">
        <v>0</v>
      </c>
      <c r="EK84">
        <v>1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1</v>
      </c>
      <c r="ES84">
        <v>1</v>
      </c>
      <c r="ET84">
        <v>1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1</v>
      </c>
      <c r="FE84">
        <v>1</v>
      </c>
      <c r="FF84">
        <v>0</v>
      </c>
      <c r="FG84">
        <v>0</v>
      </c>
      <c r="FH84">
        <v>0</v>
      </c>
      <c r="FI84">
        <v>0</v>
      </c>
      <c r="FJ84">
        <v>1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1</v>
      </c>
    </row>
    <row r="85" spans="1:172" ht="14.25">
      <c r="A85">
        <v>80</v>
      </c>
      <c r="B85" t="str">
        <f t="shared" si="16"/>
        <v>100702</v>
      </c>
      <c r="C85" t="str">
        <f t="shared" si="17"/>
        <v>Drzewica</v>
      </c>
      <c r="D85" t="str">
        <f t="shared" si="15"/>
        <v>opoczyński</v>
      </c>
      <c r="E85" t="str">
        <f t="shared" si="14"/>
        <v>łódzkie</v>
      </c>
      <c r="F85">
        <v>3</v>
      </c>
      <c r="G85" t="str">
        <f>"Remiza OSP w Drzewicy, Plac Gabriela Narutowicza 17, 26-340 Drzewica"</f>
        <v>Remiza OSP w Drzewicy, Plac Gabriela Narutowicza 17, 26-340 Drzewica</v>
      </c>
      <c r="H85">
        <v>1281</v>
      </c>
      <c r="I85">
        <v>1281</v>
      </c>
      <c r="J85">
        <v>0</v>
      </c>
      <c r="K85">
        <v>900</v>
      </c>
      <c r="L85">
        <v>610</v>
      </c>
      <c r="M85">
        <v>290</v>
      </c>
      <c r="N85">
        <v>290</v>
      </c>
      <c r="O85">
        <v>0</v>
      </c>
      <c r="P85">
        <v>0</v>
      </c>
      <c r="Q85">
        <v>4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290</v>
      </c>
      <c r="Z85">
        <v>0</v>
      </c>
      <c r="AA85">
        <v>0</v>
      </c>
      <c r="AB85">
        <v>290</v>
      </c>
      <c r="AC85">
        <v>8</v>
      </c>
      <c r="AD85">
        <v>282</v>
      </c>
      <c r="AE85">
        <v>2</v>
      </c>
      <c r="AF85">
        <v>1</v>
      </c>
      <c r="AG85">
        <v>0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2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1</v>
      </c>
      <c r="BB85">
        <v>1</v>
      </c>
      <c r="BC85">
        <v>24</v>
      </c>
      <c r="BD85">
        <v>16</v>
      </c>
      <c r="BE85">
        <v>4</v>
      </c>
      <c r="BF85">
        <v>1</v>
      </c>
      <c r="BG85">
        <v>1</v>
      </c>
      <c r="BH85">
        <v>0</v>
      </c>
      <c r="BI85">
        <v>1</v>
      </c>
      <c r="BJ85">
        <v>0</v>
      </c>
      <c r="BK85">
        <v>0</v>
      </c>
      <c r="BL85">
        <v>0</v>
      </c>
      <c r="BM85">
        <v>1</v>
      </c>
      <c r="BN85">
        <v>24</v>
      </c>
      <c r="BO85">
        <v>160</v>
      </c>
      <c r="BP85">
        <v>87</v>
      </c>
      <c r="BQ85">
        <v>0</v>
      </c>
      <c r="BR85">
        <v>2</v>
      </c>
      <c r="BS85">
        <v>1</v>
      </c>
      <c r="BT85">
        <v>0</v>
      </c>
      <c r="BU85">
        <v>68</v>
      </c>
      <c r="BV85">
        <v>0</v>
      </c>
      <c r="BW85">
        <v>1</v>
      </c>
      <c r="BX85">
        <v>1</v>
      </c>
      <c r="BY85">
        <v>0</v>
      </c>
      <c r="BZ85">
        <v>160</v>
      </c>
      <c r="CA85">
        <v>3</v>
      </c>
      <c r="CB85">
        <v>0</v>
      </c>
      <c r="CC85">
        <v>1</v>
      </c>
      <c r="CD85">
        <v>0</v>
      </c>
      <c r="CE85">
        <v>0</v>
      </c>
      <c r="CF85">
        <v>0</v>
      </c>
      <c r="CG85">
        <v>2</v>
      </c>
      <c r="CH85">
        <v>0</v>
      </c>
      <c r="CI85">
        <v>0</v>
      </c>
      <c r="CJ85">
        <v>0</v>
      </c>
      <c r="CK85">
        <v>0</v>
      </c>
      <c r="CL85">
        <v>3</v>
      </c>
      <c r="CM85">
        <v>2</v>
      </c>
      <c r="CN85">
        <v>1</v>
      </c>
      <c r="CO85">
        <v>0</v>
      </c>
      <c r="CP85">
        <v>1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2</v>
      </c>
      <c r="CY85">
        <v>26</v>
      </c>
      <c r="CZ85">
        <v>21</v>
      </c>
      <c r="DA85">
        <v>2</v>
      </c>
      <c r="DB85">
        <v>0</v>
      </c>
      <c r="DC85">
        <v>1</v>
      </c>
      <c r="DD85">
        <v>0</v>
      </c>
      <c r="DE85">
        <v>0</v>
      </c>
      <c r="DF85">
        <v>0</v>
      </c>
      <c r="DG85">
        <v>1</v>
      </c>
      <c r="DH85">
        <v>1</v>
      </c>
      <c r="DI85">
        <v>0</v>
      </c>
      <c r="DJ85">
        <v>26</v>
      </c>
      <c r="DK85">
        <v>32</v>
      </c>
      <c r="DL85">
        <v>23</v>
      </c>
      <c r="DM85">
        <v>8</v>
      </c>
      <c r="DN85">
        <v>0</v>
      </c>
      <c r="DO85">
        <v>1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32</v>
      </c>
      <c r="DW85">
        <v>32</v>
      </c>
      <c r="DX85">
        <v>1</v>
      </c>
      <c r="DY85">
        <v>19</v>
      </c>
      <c r="DZ85">
        <v>0</v>
      </c>
      <c r="EA85">
        <v>0</v>
      </c>
      <c r="EB85">
        <v>0</v>
      </c>
      <c r="EC85">
        <v>5</v>
      </c>
      <c r="ED85">
        <v>0</v>
      </c>
      <c r="EE85">
        <v>0</v>
      </c>
      <c r="EF85">
        <v>2</v>
      </c>
      <c r="EG85">
        <v>5</v>
      </c>
      <c r="EH85">
        <v>32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</row>
    <row r="86" spans="1:172" ht="14.25">
      <c r="A86">
        <v>81</v>
      </c>
      <c r="B86" t="str">
        <f t="shared" si="16"/>
        <v>100702</v>
      </c>
      <c r="C86" t="str">
        <f t="shared" si="17"/>
        <v>Drzewica</v>
      </c>
      <c r="D86" t="str">
        <f t="shared" si="15"/>
        <v>opoczyński</v>
      </c>
      <c r="E86" t="str">
        <f t="shared" si="14"/>
        <v>łódzkie</v>
      </c>
      <c r="F86">
        <v>4</v>
      </c>
      <c r="G86" t="str">
        <f>"Szkoła Podstawowa w Domasznie, Domaszno 31, 26-340 Drzewica"</f>
        <v>Szkoła Podstawowa w Domasznie, Domaszno 31, 26-340 Drzewica</v>
      </c>
      <c r="H86">
        <v>455</v>
      </c>
      <c r="I86">
        <v>455</v>
      </c>
      <c r="J86">
        <v>0</v>
      </c>
      <c r="K86">
        <v>320</v>
      </c>
      <c r="L86">
        <v>197</v>
      </c>
      <c r="M86">
        <v>123</v>
      </c>
      <c r="N86">
        <v>123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123</v>
      </c>
      <c r="Z86">
        <v>0</v>
      </c>
      <c r="AA86">
        <v>0</v>
      </c>
      <c r="AB86">
        <v>123</v>
      </c>
      <c r="AC86">
        <v>6</v>
      </c>
      <c r="AD86">
        <v>117</v>
      </c>
      <c r="AE86">
        <v>15</v>
      </c>
      <c r="AF86">
        <v>7</v>
      </c>
      <c r="AG86">
        <v>1</v>
      </c>
      <c r="AH86">
        <v>0</v>
      </c>
      <c r="AI86">
        <v>0</v>
      </c>
      <c r="AJ86">
        <v>2</v>
      </c>
      <c r="AK86">
        <v>1</v>
      </c>
      <c r="AL86">
        <v>1</v>
      </c>
      <c r="AM86">
        <v>2</v>
      </c>
      <c r="AN86">
        <v>0</v>
      </c>
      <c r="AO86">
        <v>1</v>
      </c>
      <c r="AP86">
        <v>15</v>
      </c>
      <c r="AQ86">
        <v>1</v>
      </c>
      <c r="AR86">
        <v>1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1</v>
      </c>
      <c r="BC86">
        <v>2</v>
      </c>
      <c r="BD86">
        <v>0</v>
      </c>
      <c r="BE86">
        <v>0</v>
      </c>
      <c r="BF86">
        <v>0</v>
      </c>
      <c r="BG86">
        <v>0</v>
      </c>
      <c r="BH86">
        <v>1</v>
      </c>
      <c r="BI86">
        <v>0</v>
      </c>
      <c r="BJ86">
        <v>0</v>
      </c>
      <c r="BK86">
        <v>0</v>
      </c>
      <c r="BL86">
        <v>0</v>
      </c>
      <c r="BM86">
        <v>1</v>
      </c>
      <c r="BN86">
        <v>2</v>
      </c>
      <c r="BO86">
        <v>77</v>
      </c>
      <c r="BP86">
        <v>37</v>
      </c>
      <c r="BQ86">
        <v>1</v>
      </c>
      <c r="BR86">
        <v>1</v>
      </c>
      <c r="BS86">
        <v>0</v>
      </c>
      <c r="BT86">
        <v>0</v>
      </c>
      <c r="BU86">
        <v>38</v>
      </c>
      <c r="BV86">
        <v>0</v>
      </c>
      <c r="BW86">
        <v>0</v>
      </c>
      <c r="BX86">
        <v>0</v>
      </c>
      <c r="BY86">
        <v>0</v>
      </c>
      <c r="BZ86">
        <v>77</v>
      </c>
      <c r="CA86">
        <v>1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1</v>
      </c>
      <c r="CI86">
        <v>0</v>
      </c>
      <c r="CJ86">
        <v>0</v>
      </c>
      <c r="CK86">
        <v>0</v>
      </c>
      <c r="CL86">
        <v>1</v>
      </c>
      <c r="CM86">
        <v>3</v>
      </c>
      <c r="CN86">
        <v>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1</v>
      </c>
      <c r="CU86">
        <v>0</v>
      </c>
      <c r="CV86">
        <v>0</v>
      </c>
      <c r="CW86">
        <v>0</v>
      </c>
      <c r="CX86">
        <v>3</v>
      </c>
      <c r="CY86">
        <v>4</v>
      </c>
      <c r="CZ86">
        <v>2</v>
      </c>
      <c r="DA86">
        <v>2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4</v>
      </c>
      <c r="DK86">
        <v>3</v>
      </c>
      <c r="DL86">
        <v>2</v>
      </c>
      <c r="DM86">
        <v>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3</v>
      </c>
      <c r="DW86">
        <v>10</v>
      </c>
      <c r="DX86">
        <v>0</v>
      </c>
      <c r="DY86">
        <v>7</v>
      </c>
      <c r="DZ86">
        <v>0</v>
      </c>
      <c r="EA86">
        <v>0</v>
      </c>
      <c r="EB86">
        <v>1</v>
      </c>
      <c r="EC86">
        <v>1</v>
      </c>
      <c r="ED86">
        <v>1</v>
      </c>
      <c r="EE86">
        <v>0</v>
      </c>
      <c r="EF86">
        <v>0</v>
      </c>
      <c r="EG86">
        <v>0</v>
      </c>
      <c r="EH86">
        <v>10</v>
      </c>
      <c r="EI86">
        <v>1</v>
      </c>
      <c r="EJ86">
        <v>0</v>
      </c>
      <c r="EK86">
        <v>1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1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</row>
    <row r="87" spans="1:172" ht="14.25">
      <c r="A87">
        <v>82</v>
      </c>
      <c r="B87" t="str">
        <f t="shared" si="16"/>
        <v>100702</v>
      </c>
      <c r="C87" t="str">
        <f t="shared" si="17"/>
        <v>Drzewica</v>
      </c>
      <c r="D87" t="str">
        <f t="shared" si="15"/>
        <v>opoczyński</v>
      </c>
      <c r="E87" t="str">
        <f t="shared" si="14"/>
        <v>łódzkie</v>
      </c>
      <c r="F87">
        <v>5</v>
      </c>
      <c r="G87" t="str">
        <f>"Świetlica Wiejska w Zakościelu, Zakościele 86A, 26-340 Drzewica"</f>
        <v>Świetlica Wiejska w Zakościelu, Zakościele 86A, 26-340 Drzewica</v>
      </c>
      <c r="H87">
        <v>702</v>
      </c>
      <c r="I87">
        <v>702</v>
      </c>
      <c r="J87">
        <v>0</v>
      </c>
      <c r="K87">
        <v>490</v>
      </c>
      <c r="L87">
        <v>282</v>
      </c>
      <c r="M87">
        <v>208</v>
      </c>
      <c r="N87">
        <v>208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208</v>
      </c>
      <c r="Z87">
        <v>0</v>
      </c>
      <c r="AA87">
        <v>0</v>
      </c>
      <c r="AB87">
        <v>208</v>
      </c>
      <c r="AC87">
        <v>17</v>
      </c>
      <c r="AD87">
        <v>191</v>
      </c>
      <c r="AE87">
        <v>13</v>
      </c>
      <c r="AF87">
        <v>8</v>
      </c>
      <c r="AG87">
        <v>0</v>
      </c>
      <c r="AH87">
        <v>0</v>
      </c>
      <c r="AI87">
        <v>1</v>
      </c>
      <c r="AJ87">
        <v>3</v>
      </c>
      <c r="AK87">
        <v>0</v>
      </c>
      <c r="AL87">
        <v>0</v>
      </c>
      <c r="AM87">
        <v>0</v>
      </c>
      <c r="AN87">
        <v>0</v>
      </c>
      <c r="AO87">
        <v>1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6</v>
      </c>
      <c r="BD87">
        <v>2</v>
      </c>
      <c r="BE87">
        <v>1</v>
      </c>
      <c r="BF87">
        <v>0</v>
      </c>
      <c r="BG87">
        <v>1</v>
      </c>
      <c r="BH87">
        <v>0</v>
      </c>
      <c r="BI87">
        <v>1</v>
      </c>
      <c r="BJ87">
        <v>0</v>
      </c>
      <c r="BK87">
        <v>0</v>
      </c>
      <c r="BL87">
        <v>1</v>
      </c>
      <c r="BM87">
        <v>0</v>
      </c>
      <c r="BN87">
        <v>6</v>
      </c>
      <c r="BO87">
        <v>113</v>
      </c>
      <c r="BP87">
        <v>61</v>
      </c>
      <c r="BQ87">
        <v>3</v>
      </c>
      <c r="BR87">
        <v>0</v>
      </c>
      <c r="BS87">
        <v>1</v>
      </c>
      <c r="BT87">
        <v>0</v>
      </c>
      <c r="BU87">
        <v>47</v>
      </c>
      <c r="BV87">
        <v>0</v>
      </c>
      <c r="BW87">
        <v>0</v>
      </c>
      <c r="BX87">
        <v>1</v>
      </c>
      <c r="BY87">
        <v>0</v>
      </c>
      <c r="BZ87">
        <v>113</v>
      </c>
      <c r="CA87">
        <v>2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1</v>
      </c>
      <c r="CH87">
        <v>0</v>
      </c>
      <c r="CI87">
        <v>1</v>
      </c>
      <c r="CJ87">
        <v>0</v>
      </c>
      <c r="CK87">
        <v>0</v>
      </c>
      <c r="CL87">
        <v>2</v>
      </c>
      <c r="CM87">
        <v>1</v>
      </c>
      <c r="CN87">
        <v>1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1</v>
      </c>
      <c r="CY87">
        <v>8</v>
      </c>
      <c r="CZ87">
        <v>5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3</v>
      </c>
      <c r="DH87">
        <v>0</v>
      </c>
      <c r="DI87">
        <v>0</v>
      </c>
      <c r="DJ87">
        <v>8</v>
      </c>
      <c r="DK87">
        <v>14</v>
      </c>
      <c r="DL87">
        <v>7</v>
      </c>
      <c r="DM87">
        <v>4</v>
      </c>
      <c r="DN87">
        <v>0</v>
      </c>
      <c r="DO87">
        <v>0</v>
      </c>
      <c r="DP87">
        <v>1</v>
      </c>
      <c r="DQ87">
        <v>0</v>
      </c>
      <c r="DR87">
        <v>0</v>
      </c>
      <c r="DS87">
        <v>1</v>
      </c>
      <c r="DT87">
        <v>0</v>
      </c>
      <c r="DU87">
        <v>1</v>
      </c>
      <c r="DV87">
        <v>14</v>
      </c>
      <c r="DW87">
        <v>33</v>
      </c>
      <c r="DX87">
        <v>1</v>
      </c>
      <c r="DY87">
        <v>4</v>
      </c>
      <c r="DZ87">
        <v>0</v>
      </c>
      <c r="EA87">
        <v>0</v>
      </c>
      <c r="EB87">
        <v>2</v>
      </c>
      <c r="EC87">
        <v>24</v>
      </c>
      <c r="ED87">
        <v>1</v>
      </c>
      <c r="EE87">
        <v>0</v>
      </c>
      <c r="EF87">
        <v>0</v>
      </c>
      <c r="EG87">
        <v>1</v>
      </c>
      <c r="EH87">
        <v>33</v>
      </c>
      <c r="EI87">
        <v>1</v>
      </c>
      <c r="EJ87">
        <v>0</v>
      </c>
      <c r="EK87">
        <v>1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1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</row>
    <row r="88" spans="1:172" ht="14.25">
      <c r="A88">
        <v>83</v>
      </c>
      <c r="B88" t="str">
        <f t="shared" si="16"/>
        <v>100702</v>
      </c>
      <c r="C88" t="str">
        <f t="shared" si="17"/>
        <v>Drzewica</v>
      </c>
      <c r="D88" t="str">
        <f t="shared" si="15"/>
        <v>opoczyński</v>
      </c>
      <c r="E88" t="str">
        <f t="shared" si="14"/>
        <v>łódzkie</v>
      </c>
      <c r="F88">
        <v>6</v>
      </c>
      <c r="G88" t="str">
        <f>"Szkoła Podstawowa w Brzustowcu, Brzustowiec 152, 26-340 Drzewica"</f>
        <v>Szkoła Podstawowa w Brzustowcu, Brzustowiec 152, 26-340 Drzewica</v>
      </c>
      <c r="H88">
        <v>610</v>
      </c>
      <c r="I88">
        <v>610</v>
      </c>
      <c r="J88">
        <v>0</v>
      </c>
      <c r="K88">
        <v>430</v>
      </c>
      <c r="L88">
        <v>313</v>
      </c>
      <c r="M88">
        <v>117</v>
      </c>
      <c r="N88">
        <v>117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117</v>
      </c>
      <c r="Z88">
        <v>0</v>
      </c>
      <c r="AA88">
        <v>0</v>
      </c>
      <c r="AB88">
        <v>117</v>
      </c>
      <c r="AC88">
        <v>2</v>
      </c>
      <c r="AD88">
        <v>115</v>
      </c>
      <c r="AE88">
        <v>6</v>
      </c>
      <c r="AF88">
        <v>1</v>
      </c>
      <c r="AG88">
        <v>0</v>
      </c>
      <c r="AH88">
        <v>0</v>
      </c>
      <c r="AI88">
        <v>1</v>
      </c>
      <c r="AJ88">
        <v>1</v>
      </c>
      <c r="AK88">
        <v>0</v>
      </c>
      <c r="AL88">
        <v>0</v>
      </c>
      <c r="AM88">
        <v>1</v>
      </c>
      <c r="AN88">
        <v>1</v>
      </c>
      <c r="AO88">
        <v>1</v>
      </c>
      <c r="AP88">
        <v>6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5</v>
      </c>
      <c r="BD88">
        <v>1</v>
      </c>
      <c r="BE88">
        <v>0</v>
      </c>
      <c r="BF88">
        <v>2</v>
      </c>
      <c r="BG88">
        <v>1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1</v>
      </c>
      <c r="BN88">
        <v>5</v>
      </c>
      <c r="BO88">
        <v>72</v>
      </c>
      <c r="BP88">
        <v>36</v>
      </c>
      <c r="BQ88">
        <v>4</v>
      </c>
      <c r="BR88">
        <v>0</v>
      </c>
      <c r="BS88">
        <v>0</v>
      </c>
      <c r="BT88">
        <v>0</v>
      </c>
      <c r="BU88">
        <v>32</v>
      </c>
      <c r="BV88">
        <v>0</v>
      </c>
      <c r="BW88">
        <v>0</v>
      </c>
      <c r="BX88">
        <v>0</v>
      </c>
      <c r="BY88">
        <v>0</v>
      </c>
      <c r="BZ88">
        <v>72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5</v>
      </c>
      <c r="CN88">
        <v>4</v>
      </c>
      <c r="CO88">
        <v>1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5</v>
      </c>
      <c r="CY88">
        <v>4</v>
      </c>
      <c r="CZ88">
        <v>3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1</v>
      </c>
      <c r="DI88">
        <v>0</v>
      </c>
      <c r="DJ88">
        <v>4</v>
      </c>
      <c r="DK88">
        <v>9</v>
      </c>
      <c r="DL88">
        <v>8</v>
      </c>
      <c r="DM88">
        <v>0</v>
      </c>
      <c r="DN88">
        <v>0</v>
      </c>
      <c r="DO88">
        <v>0</v>
      </c>
      <c r="DP88">
        <v>0</v>
      </c>
      <c r="DQ88">
        <v>1</v>
      </c>
      <c r="DR88">
        <v>0</v>
      </c>
      <c r="DS88">
        <v>0</v>
      </c>
      <c r="DT88">
        <v>0</v>
      </c>
      <c r="DU88">
        <v>0</v>
      </c>
      <c r="DV88">
        <v>9</v>
      </c>
      <c r="DW88">
        <v>14</v>
      </c>
      <c r="DX88">
        <v>2</v>
      </c>
      <c r="DY88">
        <v>9</v>
      </c>
      <c r="DZ88">
        <v>0</v>
      </c>
      <c r="EA88">
        <v>0</v>
      </c>
      <c r="EB88">
        <v>0</v>
      </c>
      <c r="EC88">
        <v>1</v>
      </c>
      <c r="ED88">
        <v>0</v>
      </c>
      <c r="EE88">
        <v>0</v>
      </c>
      <c r="EF88">
        <v>0</v>
      </c>
      <c r="EG88">
        <v>2</v>
      </c>
      <c r="EH88">
        <v>14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</row>
    <row r="89" spans="1:172" ht="14.25">
      <c r="A89">
        <v>84</v>
      </c>
      <c r="B89" t="str">
        <f t="shared" si="16"/>
        <v>100702</v>
      </c>
      <c r="C89" t="str">
        <f t="shared" si="17"/>
        <v>Drzewica</v>
      </c>
      <c r="D89" t="str">
        <f t="shared" si="15"/>
        <v>opoczyński</v>
      </c>
      <c r="E89" t="str">
        <f t="shared" si="14"/>
        <v>łódzkie</v>
      </c>
      <c r="F89">
        <v>7</v>
      </c>
      <c r="G89" t="str">
        <f>"Szkoła Podstawowa w Idzikowicach, Idzikowice 30b, 26-340 Drzewica"</f>
        <v>Szkoła Podstawowa w Idzikowicach, Idzikowice 30b, 26-340 Drzewica</v>
      </c>
      <c r="H89">
        <v>519</v>
      </c>
      <c r="I89">
        <v>519</v>
      </c>
      <c r="J89">
        <v>0</v>
      </c>
      <c r="K89">
        <v>360</v>
      </c>
      <c r="L89">
        <v>258</v>
      </c>
      <c r="M89">
        <v>102</v>
      </c>
      <c r="N89">
        <v>102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102</v>
      </c>
      <c r="Z89">
        <v>0</v>
      </c>
      <c r="AA89">
        <v>0</v>
      </c>
      <c r="AB89">
        <v>102</v>
      </c>
      <c r="AC89">
        <v>5</v>
      </c>
      <c r="AD89">
        <v>97</v>
      </c>
      <c r="AE89">
        <v>3</v>
      </c>
      <c r="AF89">
        <v>1</v>
      </c>
      <c r="AG89">
        <v>0</v>
      </c>
      <c r="AH89">
        <v>0</v>
      </c>
      <c r="AI89">
        <v>0</v>
      </c>
      <c r="AJ89">
        <v>2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3</v>
      </c>
      <c r="AQ89">
        <v>2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1</v>
      </c>
      <c r="BB89">
        <v>2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59</v>
      </c>
      <c r="BP89">
        <v>37</v>
      </c>
      <c r="BQ89">
        <v>0</v>
      </c>
      <c r="BR89">
        <v>0</v>
      </c>
      <c r="BS89">
        <v>1</v>
      </c>
      <c r="BT89">
        <v>0</v>
      </c>
      <c r="BU89">
        <v>21</v>
      </c>
      <c r="BV89">
        <v>0</v>
      </c>
      <c r="BW89">
        <v>0</v>
      </c>
      <c r="BX89">
        <v>0</v>
      </c>
      <c r="BY89">
        <v>0</v>
      </c>
      <c r="BZ89">
        <v>59</v>
      </c>
      <c r="CA89">
        <v>2</v>
      </c>
      <c r="CB89">
        <v>2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2</v>
      </c>
      <c r="CM89">
        <v>1</v>
      </c>
      <c r="CN89">
        <v>0</v>
      </c>
      <c r="CO89">
        <v>0</v>
      </c>
      <c r="CP89">
        <v>0</v>
      </c>
      <c r="CQ89">
        <v>1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5</v>
      </c>
      <c r="CZ89">
        <v>2</v>
      </c>
      <c r="DA89">
        <v>0</v>
      </c>
      <c r="DB89">
        <v>0</v>
      </c>
      <c r="DC89">
        <v>0</v>
      </c>
      <c r="DD89">
        <v>1</v>
      </c>
      <c r="DE89">
        <v>0</v>
      </c>
      <c r="DF89">
        <v>0</v>
      </c>
      <c r="DG89">
        <v>1</v>
      </c>
      <c r="DH89">
        <v>1</v>
      </c>
      <c r="DI89">
        <v>0</v>
      </c>
      <c r="DJ89">
        <v>5</v>
      </c>
      <c r="DK89">
        <v>2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1</v>
      </c>
      <c r="DU89">
        <v>0</v>
      </c>
      <c r="DV89">
        <v>2</v>
      </c>
      <c r="DW89">
        <v>20</v>
      </c>
      <c r="DX89">
        <v>1</v>
      </c>
      <c r="DY89">
        <v>8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11</v>
      </c>
      <c r="EH89">
        <v>20</v>
      </c>
      <c r="EI89">
        <v>2</v>
      </c>
      <c r="EJ89">
        <v>0</v>
      </c>
      <c r="EK89">
        <v>1</v>
      </c>
      <c r="EL89">
        <v>0</v>
      </c>
      <c r="EM89">
        <v>0</v>
      </c>
      <c r="EN89">
        <v>0</v>
      </c>
      <c r="EO89">
        <v>0</v>
      </c>
      <c r="EP89">
        <v>1</v>
      </c>
      <c r="EQ89">
        <v>0</v>
      </c>
      <c r="ER89">
        <v>2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1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1</v>
      </c>
      <c r="FM89">
        <v>0</v>
      </c>
      <c r="FN89">
        <v>0</v>
      </c>
      <c r="FO89">
        <v>0</v>
      </c>
      <c r="FP89">
        <v>1</v>
      </c>
    </row>
    <row r="90" spans="1:172" ht="14.25">
      <c r="A90">
        <v>85</v>
      </c>
      <c r="B90" t="str">
        <f t="shared" si="16"/>
        <v>100702</v>
      </c>
      <c r="C90" t="str">
        <f t="shared" si="17"/>
        <v>Drzewica</v>
      </c>
      <c r="D90" t="str">
        <f t="shared" si="15"/>
        <v>opoczyński</v>
      </c>
      <c r="E90" t="str">
        <f t="shared" si="14"/>
        <v>łódzkie</v>
      </c>
      <c r="F90">
        <v>8</v>
      </c>
      <c r="G90" t="str">
        <f>"Świetlica Wiejska w Strzyżowie, Strzyżów 61, 26-340 Drzewica"</f>
        <v>Świetlica Wiejska w Strzyżowie, Strzyżów 61, 26-340 Drzewica</v>
      </c>
      <c r="H90">
        <v>583</v>
      </c>
      <c r="I90">
        <v>583</v>
      </c>
      <c r="J90">
        <v>0</v>
      </c>
      <c r="K90">
        <v>410</v>
      </c>
      <c r="L90">
        <v>303</v>
      </c>
      <c r="M90">
        <v>107</v>
      </c>
      <c r="N90">
        <v>107</v>
      </c>
      <c r="O90">
        <v>0</v>
      </c>
      <c r="P90">
        <v>0</v>
      </c>
      <c r="Q90">
        <v>2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107</v>
      </c>
      <c r="Z90">
        <v>0</v>
      </c>
      <c r="AA90">
        <v>0</v>
      </c>
      <c r="AB90">
        <v>107</v>
      </c>
      <c r="AC90">
        <v>3</v>
      </c>
      <c r="AD90">
        <v>104</v>
      </c>
      <c r="AE90">
        <v>1</v>
      </c>
      <c r="AF90">
        <v>1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1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4</v>
      </c>
      <c r="BD90">
        <v>0</v>
      </c>
      <c r="BE90">
        <v>0</v>
      </c>
      <c r="BF90">
        <v>0</v>
      </c>
      <c r="BG90">
        <v>0</v>
      </c>
      <c r="BH90">
        <v>3</v>
      </c>
      <c r="BI90">
        <v>0</v>
      </c>
      <c r="BJ90">
        <v>1</v>
      </c>
      <c r="BK90">
        <v>0</v>
      </c>
      <c r="BL90">
        <v>0</v>
      </c>
      <c r="BM90">
        <v>0</v>
      </c>
      <c r="BN90">
        <v>4</v>
      </c>
      <c r="BO90">
        <v>61</v>
      </c>
      <c r="BP90">
        <v>48</v>
      </c>
      <c r="BQ90">
        <v>0</v>
      </c>
      <c r="BR90">
        <v>0</v>
      </c>
      <c r="BS90">
        <v>0</v>
      </c>
      <c r="BT90">
        <v>1</v>
      </c>
      <c r="BU90">
        <v>12</v>
      </c>
      <c r="BV90">
        <v>0</v>
      </c>
      <c r="BW90">
        <v>0</v>
      </c>
      <c r="BX90">
        <v>0</v>
      </c>
      <c r="BY90">
        <v>0</v>
      </c>
      <c r="BZ90">
        <v>61</v>
      </c>
      <c r="CA90">
        <v>2</v>
      </c>
      <c r="CB90">
        <v>2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2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5</v>
      </c>
      <c r="CZ90">
        <v>4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1</v>
      </c>
      <c r="DH90">
        <v>0</v>
      </c>
      <c r="DI90">
        <v>0</v>
      </c>
      <c r="DJ90">
        <v>5</v>
      </c>
      <c r="DK90">
        <v>9</v>
      </c>
      <c r="DL90">
        <v>6</v>
      </c>
      <c r="DM90">
        <v>3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9</v>
      </c>
      <c r="DW90">
        <v>21</v>
      </c>
      <c r="DX90">
        <v>1</v>
      </c>
      <c r="DY90">
        <v>13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7</v>
      </c>
      <c r="EH90">
        <v>21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1</v>
      </c>
      <c r="FF90">
        <v>0</v>
      </c>
      <c r="FG90">
        <v>0</v>
      </c>
      <c r="FH90">
        <v>0</v>
      </c>
      <c r="FI90">
        <v>0</v>
      </c>
      <c r="FJ90">
        <v>1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1</v>
      </c>
    </row>
    <row r="91" spans="1:172" ht="14.25">
      <c r="A91">
        <v>86</v>
      </c>
      <c r="B91" t="str">
        <f t="shared" si="16"/>
        <v>100702</v>
      </c>
      <c r="C91" t="str">
        <f t="shared" si="17"/>
        <v>Drzewica</v>
      </c>
      <c r="D91" t="str">
        <f t="shared" si="15"/>
        <v>opoczyński</v>
      </c>
      <c r="E91" t="str">
        <f t="shared" si="14"/>
        <v>łódzkie</v>
      </c>
      <c r="F91">
        <v>9</v>
      </c>
      <c r="G91" t="str">
        <f>"Szkoła Podstawowa w Radzicach Dużych, Radzice Duże 169, 26-340 Drzewica"</f>
        <v>Szkoła Podstawowa w Radzicach Dużych, Radzice Duże 169, 26-340 Drzewica</v>
      </c>
      <c r="H91">
        <v>1050</v>
      </c>
      <c r="I91">
        <v>1050</v>
      </c>
      <c r="J91">
        <v>0</v>
      </c>
      <c r="K91">
        <v>740</v>
      </c>
      <c r="L91">
        <v>595</v>
      </c>
      <c r="M91">
        <v>145</v>
      </c>
      <c r="N91">
        <v>145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145</v>
      </c>
      <c r="Z91">
        <v>0</v>
      </c>
      <c r="AA91">
        <v>0</v>
      </c>
      <c r="AB91">
        <v>145</v>
      </c>
      <c r="AC91">
        <v>8</v>
      </c>
      <c r="AD91">
        <v>137</v>
      </c>
      <c r="AE91">
        <v>2</v>
      </c>
      <c r="AF91">
        <v>0</v>
      </c>
      <c r="AG91">
        <v>0</v>
      </c>
      <c r="AH91">
        <v>1</v>
      </c>
      <c r="AI91">
        <v>0</v>
      </c>
      <c r="AJ91">
        <v>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2</v>
      </c>
      <c r="AQ91">
        <v>3</v>
      </c>
      <c r="AR91">
        <v>2</v>
      </c>
      <c r="AS91">
        <v>1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3</v>
      </c>
      <c r="BC91">
        <v>5</v>
      </c>
      <c r="BD91">
        <v>4</v>
      </c>
      <c r="BE91">
        <v>0</v>
      </c>
      <c r="BF91">
        <v>0</v>
      </c>
      <c r="BG91">
        <v>1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5</v>
      </c>
      <c r="BO91">
        <v>86</v>
      </c>
      <c r="BP91">
        <v>47</v>
      </c>
      <c r="BQ91">
        <v>1</v>
      </c>
      <c r="BR91">
        <v>0</v>
      </c>
      <c r="BS91">
        <v>0</v>
      </c>
      <c r="BT91">
        <v>0</v>
      </c>
      <c r="BU91">
        <v>38</v>
      </c>
      <c r="BV91">
        <v>0</v>
      </c>
      <c r="BW91">
        <v>0</v>
      </c>
      <c r="BX91">
        <v>0</v>
      </c>
      <c r="BY91">
        <v>0</v>
      </c>
      <c r="BZ91">
        <v>86</v>
      </c>
      <c r="CA91">
        <v>2</v>
      </c>
      <c r="CB91">
        <v>0</v>
      </c>
      <c r="CC91">
        <v>0</v>
      </c>
      <c r="CD91">
        <v>1</v>
      </c>
      <c r="CE91">
        <v>1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2</v>
      </c>
      <c r="CM91">
        <v>1</v>
      </c>
      <c r="CN91">
        <v>0</v>
      </c>
      <c r="CO91">
        <v>0</v>
      </c>
      <c r="CP91">
        <v>0</v>
      </c>
      <c r="CQ91">
        <v>1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1</v>
      </c>
      <c r="CY91">
        <v>3</v>
      </c>
      <c r="CZ91">
        <v>2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1</v>
      </c>
      <c r="DI91">
        <v>0</v>
      </c>
      <c r="DJ91">
        <v>3</v>
      </c>
      <c r="DK91">
        <v>4</v>
      </c>
      <c r="DL91">
        <v>3</v>
      </c>
      <c r="DM91">
        <v>1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4</v>
      </c>
      <c r="DW91">
        <v>31</v>
      </c>
      <c r="DX91">
        <v>0</v>
      </c>
      <c r="DY91">
        <v>18</v>
      </c>
      <c r="DZ91">
        <v>0</v>
      </c>
      <c r="EA91">
        <v>0</v>
      </c>
      <c r="EB91">
        <v>1</v>
      </c>
      <c r="EC91">
        <v>0</v>
      </c>
      <c r="ED91">
        <v>1</v>
      </c>
      <c r="EE91">
        <v>0</v>
      </c>
      <c r="EF91">
        <v>1</v>
      </c>
      <c r="EG91">
        <v>10</v>
      </c>
      <c r="EH91">
        <v>31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</row>
    <row r="92" spans="1:172" ht="14.25">
      <c r="A92">
        <v>87</v>
      </c>
      <c r="B92" t="str">
        <f t="shared" si="16"/>
        <v>100702</v>
      </c>
      <c r="C92" t="str">
        <f t="shared" si="17"/>
        <v>Drzewica</v>
      </c>
      <c r="D92" t="str">
        <f t="shared" si="15"/>
        <v>opoczyński</v>
      </c>
      <c r="E92" t="str">
        <f t="shared" si="14"/>
        <v>łódzkie</v>
      </c>
      <c r="F92">
        <v>10</v>
      </c>
      <c r="G92" t="str">
        <f>"Świetlica Wiejska w Dąbrówce, Dąbrówka 68, 26-340 Drzewica"</f>
        <v>Świetlica Wiejska w Dąbrówce, Dąbrówka 68, 26-340 Drzewica</v>
      </c>
      <c r="H92">
        <v>694</v>
      </c>
      <c r="I92">
        <v>694</v>
      </c>
      <c r="J92">
        <v>0</v>
      </c>
      <c r="K92">
        <v>490</v>
      </c>
      <c r="L92">
        <v>373</v>
      </c>
      <c r="M92">
        <v>117</v>
      </c>
      <c r="N92">
        <v>117</v>
      </c>
      <c r="O92">
        <v>0</v>
      </c>
      <c r="P92">
        <v>0</v>
      </c>
      <c r="Q92">
        <v>2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117</v>
      </c>
      <c r="Z92">
        <v>0</v>
      </c>
      <c r="AA92">
        <v>0</v>
      </c>
      <c r="AB92">
        <v>117</v>
      </c>
      <c r="AC92">
        <v>4</v>
      </c>
      <c r="AD92">
        <v>113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1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1</v>
      </c>
      <c r="BC92">
        <v>1</v>
      </c>
      <c r="BD92">
        <v>0</v>
      </c>
      <c r="BE92">
        <v>0</v>
      </c>
      <c r="BF92">
        <v>1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1</v>
      </c>
      <c r="BO92">
        <v>60</v>
      </c>
      <c r="BP92">
        <v>28</v>
      </c>
      <c r="BQ92">
        <v>1</v>
      </c>
      <c r="BR92">
        <v>2</v>
      </c>
      <c r="BS92">
        <v>0</v>
      </c>
      <c r="BT92">
        <v>0</v>
      </c>
      <c r="BU92">
        <v>28</v>
      </c>
      <c r="BV92">
        <v>1</v>
      </c>
      <c r="BW92">
        <v>0</v>
      </c>
      <c r="BX92">
        <v>0</v>
      </c>
      <c r="BY92">
        <v>0</v>
      </c>
      <c r="BZ92">
        <v>60</v>
      </c>
      <c r="CA92">
        <v>1</v>
      </c>
      <c r="CB92">
        <v>1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1</v>
      </c>
      <c r="CM92">
        <v>2</v>
      </c>
      <c r="CN92">
        <v>1</v>
      </c>
      <c r="CO92">
        <v>0</v>
      </c>
      <c r="CP92">
        <v>0</v>
      </c>
      <c r="CQ92">
        <v>0</v>
      </c>
      <c r="CR92">
        <v>1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2</v>
      </c>
      <c r="CY92">
        <v>7</v>
      </c>
      <c r="CZ92">
        <v>4</v>
      </c>
      <c r="DA92">
        <v>0</v>
      </c>
      <c r="DB92">
        <v>0</v>
      </c>
      <c r="DC92">
        <v>0</v>
      </c>
      <c r="DD92">
        <v>0</v>
      </c>
      <c r="DE92">
        <v>1</v>
      </c>
      <c r="DF92">
        <v>0</v>
      </c>
      <c r="DG92">
        <v>2</v>
      </c>
      <c r="DH92">
        <v>0</v>
      </c>
      <c r="DI92">
        <v>0</v>
      </c>
      <c r="DJ92">
        <v>7</v>
      </c>
      <c r="DK92">
        <v>11</v>
      </c>
      <c r="DL92">
        <v>10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1</v>
      </c>
      <c r="DU92">
        <v>0</v>
      </c>
      <c r="DV92">
        <v>11</v>
      </c>
      <c r="DW92">
        <v>29</v>
      </c>
      <c r="DX92">
        <v>0</v>
      </c>
      <c r="DY92">
        <v>11</v>
      </c>
      <c r="DZ92">
        <v>0</v>
      </c>
      <c r="EA92">
        <v>0</v>
      </c>
      <c r="EB92">
        <v>0</v>
      </c>
      <c r="EC92">
        <v>2</v>
      </c>
      <c r="ED92">
        <v>0</v>
      </c>
      <c r="EE92">
        <v>0</v>
      </c>
      <c r="EF92">
        <v>0</v>
      </c>
      <c r="EG92">
        <v>16</v>
      </c>
      <c r="EH92">
        <v>29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1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1</v>
      </c>
      <c r="FN92">
        <v>0</v>
      </c>
      <c r="FO92">
        <v>0</v>
      </c>
      <c r="FP92">
        <v>1</v>
      </c>
    </row>
    <row r="93" spans="1:172" ht="14.25">
      <c r="A93">
        <v>88</v>
      </c>
      <c r="B93" t="str">
        <f t="shared" si="16"/>
        <v>100702</v>
      </c>
      <c r="C93" t="str">
        <f t="shared" si="17"/>
        <v>Drzewica</v>
      </c>
      <c r="D93" t="str">
        <f t="shared" si="15"/>
        <v>opoczyński</v>
      </c>
      <c r="E93" t="str">
        <f t="shared" si="14"/>
        <v>łódzkie</v>
      </c>
      <c r="F93">
        <v>11</v>
      </c>
      <c r="G93" t="str">
        <f>"Szkoła Filialna w Jelni, Jelnia 98, 26-340 Drzewica"</f>
        <v>Szkoła Filialna w Jelni, Jelnia 98, 26-340 Drzewica</v>
      </c>
      <c r="H93">
        <v>526</v>
      </c>
      <c r="I93">
        <v>526</v>
      </c>
      <c r="J93">
        <v>0</v>
      </c>
      <c r="K93">
        <v>370</v>
      </c>
      <c r="L93">
        <v>229</v>
      </c>
      <c r="M93">
        <v>141</v>
      </c>
      <c r="N93">
        <v>141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141</v>
      </c>
      <c r="Z93">
        <v>0</v>
      </c>
      <c r="AA93">
        <v>0</v>
      </c>
      <c r="AB93">
        <v>141</v>
      </c>
      <c r="AC93">
        <v>4</v>
      </c>
      <c r="AD93">
        <v>137</v>
      </c>
      <c r="AE93">
        <v>3</v>
      </c>
      <c r="AF93">
        <v>1</v>
      </c>
      <c r="AG93">
        <v>2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3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2</v>
      </c>
      <c r="BD93">
        <v>1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1</v>
      </c>
      <c r="BN93">
        <v>2</v>
      </c>
      <c r="BO93">
        <v>106</v>
      </c>
      <c r="BP93">
        <v>61</v>
      </c>
      <c r="BQ93">
        <v>2</v>
      </c>
      <c r="BR93">
        <v>0</v>
      </c>
      <c r="BS93">
        <v>0</v>
      </c>
      <c r="BT93">
        <v>0</v>
      </c>
      <c r="BU93">
        <v>43</v>
      </c>
      <c r="BV93">
        <v>0</v>
      </c>
      <c r="BW93">
        <v>0</v>
      </c>
      <c r="BX93">
        <v>0</v>
      </c>
      <c r="BY93">
        <v>0</v>
      </c>
      <c r="BZ93">
        <v>106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2</v>
      </c>
      <c r="CN93">
        <v>1</v>
      </c>
      <c r="CO93">
        <v>0</v>
      </c>
      <c r="CP93">
        <v>0</v>
      </c>
      <c r="CQ93">
        <v>0</v>
      </c>
      <c r="CR93">
        <v>0</v>
      </c>
      <c r="CS93">
        <v>1</v>
      </c>
      <c r="CT93">
        <v>0</v>
      </c>
      <c r="CU93">
        <v>0</v>
      </c>
      <c r="CV93">
        <v>0</v>
      </c>
      <c r="CW93">
        <v>0</v>
      </c>
      <c r="CX93">
        <v>2</v>
      </c>
      <c r="CY93">
        <v>8</v>
      </c>
      <c r="CZ93">
        <v>4</v>
      </c>
      <c r="DA93">
        <v>0</v>
      </c>
      <c r="DB93">
        <v>2</v>
      </c>
      <c r="DC93">
        <v>0</v>
      </c>
      <c r="DD93">
        <v>0</v>
      </c>
      <c r="DE93">
        <v>0</v>
      </c>
      <c r="DF93">
        <v>0</v>
      </c>
      <c r="DG93">
        <v>1</v>
      </c>
      <c r="DH93">
        <v>0</v>
      </c>
      <c r="DI93">
        <v>1</v>
      </c>
      <c r="DJ93">
        <v>8</v>
      </c>
      <c r="DK93">
        <v>1</v>
      </c>
      <c r="DL93">
        <v>0</v>
      </c>
      <c r="DM93">
        <v>0</v>
      </c>
      <c r="DN93">
        <v>0</v>
      </c>
      <c r="DO93">
        <v>1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1</v>
      </c>
      <c r="DW93">
        <v>14</v>
      </c>
      <c r="DX93">
        <v>1</v>
      </c>
      <c r="DY93">
        <v>7</v>
      </c>
      <c r="DZ93">
        <v>0</v>
      </c>
      <c r="EA93">
        <v>1</v>
      </c>
      <c r="EB93">
        <v>0</v>
      </c>
      <c r="EC93">
        <v>0</v>
      </c>
      <c r="ED93">
        <v>0</v>
      </c>
      <c r="EE93">
        <v>0</v>
      </c>
      <c r="EF93">
        <v>1</v>
      </c>
      <c r="EG93">
        <v>4</v>
      </c>
      <c r="EH93">
        <v>14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1</v>
      </c>
      <c r="ET93">
        <v>1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1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</row>
    <row r="94" spans="1:172" ht="14.25">
      <c r="A94">
        <v>89</v>
      </c>
      <c r="B94" t="str">
        <f t="shared" si="16"/>
        <v>100702</v>
      </c>
      <c r="C94" t="str">
        <f t="shared" si="17"/>
        <v>Drzewica</v>
      </c>
      <c r="D94" t="str">
        <f t="shared" si="15"/>
        <v>opoczyński</v>
      </c>
      <c r="E94" t="str">
        <f t="shared" si="14"/>
        <v>łódzkie</v>
      </c>
      <c r="F94">
        <v>12</v>
      </c>
      <c r="G94" t="str">
        <f>"Remiza OSP w Krzczonowie, Krzczonów 13a, 26-340 Drzewica"</f>
        <v>Remiza OSP w Krzczonowie, Krzczonów 13a, 26-340 Drzewica</v>
      </c>
      <c r="H94">
        <v>444</v>
      </c>
      <c r="I94">
        <v>444</v>
      </c>
      <c r="J94">
        <v>0</v>
      </c>
      <c r="K94">
        <v>310</v>
      </c>
      <c r="L94">
        <v>133</v>
      </c>
      <c r="M94">
        <v>177</v>
      </c>
      <c r="N94">
        <v>177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177</v>
      </c>
      <c r="Z94">
        <v>0</v>
      </c>
      <c r="AA94">
        <v>0</v>
      </c>
      <c r="AB94">
        <v>177</v>
      </c>
      <c r="AC94">
        <v>9</v>
      </c>
      <c r="AD94">
        <v>168</v>
      </c>
      <c r="AE94">
        <v>1</v>
      </c>
      <c r="AF94">
        <v>1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1</v>
      </c>
      <c r="AQ94">
        <v>4</v>
      </c>
      <c r="AR94">
        <v>1</v>
      </c>
      <c r="AS94">
        <v>0</v>
      </c>
      <c r="AT94">
        <v>1</v>
      </c>
      <c r="AU94">
        <v>1</v>
      </c>
      <c r="AV94">
        <v>1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4</v>
      </c>
      <c r="BC94">
        <v>1</v>
      </c>
      <c r="BD94">
        <v>0</v>
      </c>
      <c r="BE94">
        <v>1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1</v>
      </c>
      <c r="BO94">
        <v>125</v>
      </c>
      <c r="BP94">
        <v>40</v>
      </c>
      <c r="BQ94">
        <v>0</v>
      </c>
      <c r="BR94">
        <v>0</v>
      </c>
      <c r="BS94">
        <v>0</v>
      </c>
      <c r="BT94">
        <v>0</v>
      </c>
      <c r="BU94">
        <v>84</v>
      </c>
      <c r="BV94">
        <v>0</v>
      </c>
      <c r="BW94">
        <v>0</v>
      </c>
      <c r="BX94">
        <v>0</v>
      </c>
      <c r="BY94">
        <v>1</v>
      </c>
      <c r="BZ94">
        <v>125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3</v>
      </c>
      <c r="CZ94">
        <v>1</v>
      </c>
      <c r="DA94">
        <v>0</v>
      </c>
      <c r="DB94">
        <v>0</v>
      </c>
      <c r="DC94">
        <v>2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3</v>
      </c>
      <c r="DK94">
        <v>5</v>
      </c>
      <c r="DL94">
        <v>0</v>
      </c>
      <c r="DM94">
        <v>4</v>
      </c>
      <c r="DN94">
        <v>0</v>
      </c>
      <c r="DO94">
        <v>0</v>
      </c>
      <c r="DP94">
        <v>1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5</v>
      </c>
      <c r="DW94">
        <v>29</v>
      </c>
      <c r="DX94">
        <v>1</v>
      </c>
      <c r="DY94">
        <v>25</v>
      </c>
      <c r="DZ94">
        <v>0</v>
      </c>
      <c r="EA94">
        <v>0</v>
      </c>
      <c r="EB94">
        <v>0</v>
      </c>
      <c r="EC94">
        <v>1</v>
      </c>
      <c r="ED94">
        <v>0</v>
      </c>
      <c r="EE94">
        <v>0</v>
      </c>
      <c r="EF94">
        <v>0</v>
      </c>
      <c r="EG94">
        <v>2</v>
      </c>
      <c r="EH94">
        <v>29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</row>
    <row r="95" spans="1:172" ht="14.25">
      <c r="A95">
        <v>90</v>
      </c>
      <c r="B95" t="str">
        <f t="shared" si="16"/>
        <v>100702</v>
      </c>
      <c r="C95" t="str">
        <f t="shared" si="17"/>
        <v>Drzewica</v>
      </c>
      <c r="D95" t="str">
        <f t="shared" si="15"/>
        <v>opoczyński</v>
      </c>
      <c r="E95" t="str">
        <f t="shared" si="14"/>
        <v>łódzkie</v>
      </c>
      <c r="F95">
        <v>13</v>
      </c>
      <c r="G95" t="str">
        <f>"Dom Pomocy Społecznej w Drzewicy, ul. Stawowa 21/25, 26-340 Drzewica"</f>
        <v>Dom Pomocy Społecznej w Drzewicy, ul. Stawowa 21/25, 26-340 Drzewica</v>
      </c>
      <c r="H95">
        <v>69</v>
      </c>
      <c r="I95">
        <v>69</v>
      </c>
      <c r="J95">
        <v>0</v>
      </c>
      <c r="K95">
        <v>62</v>
      </c>
      <c r="L95">
        <v>27</v>
      </c>
      <c r="M95">
        <v>35</v>
      </c>
      <c r="N95">
        <v>35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35</v>
      </c>
      <c r="Z95">
        <v>0</v>
      </c>
      <c r="AA95">
        <v>0</v>
      </c>
      <c r="AB95">
        <v>35</v>
      </c>
      <c r="AC95">
        <v>0</v>
      </c>
      <c r="AD95">
        <v>35</v>
      </c>
      <c r="AE95">
        <v>3</v>
      </c>
      <c r="AF95">
        <v>1</v>
      </c>
      <c r="AG95">
        <v>2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3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7</v>
      </c>
      <c r="BD95">
        <v>3</v>
      </c>
      <c r="BE95">
        <v>1</v>
      </c>
      <c r="BF95">
        <v>0</v>
      </c>
      <c r="BG95">
        <v>2</v>
      </c>
      <c r="BH95">
        <v>1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7</v>
      </c>
      <c r="BO95">
        <v>15</v>
      </c>
      <c r="BP95">
        <v>9</v>
      </c>
      <c r="BQ95">
        <v>2</v>
      </c>
      <c r="BR95">
        <v>2</v>
      </c>
      <c r="BS95">
        <v>2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15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1</v>
      </c>
      <c r="CN95">
        <v>0</v>
      </c>
      <c r="CO95">
        <v>0</v>
      </c>
      <c r="CP95">
        <v>0</v>
      </c>
      <c r="CQ95">
        <v>0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1</v>
      </c>
      <c r="CY95">
        <v>1</v>
      </c>
      <c r="CZ95">
        <v>1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1</v>
      </c>
      <c r="DK95">
        <v>2</v>
      </c>
      <c r="DL95">
        <v>1</v>
      </c>
      <c r="DM95">
        <v>1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2</v>
      </c>
      <c r="DW95">
        <v>6</v>
      </c>
      <c r="DX95">
        <v>0</v>
      </c>
      <c r="DY95">
        <v>5</v>
      </c>
      <c r="DZ95">
        <v>0</v>
      </c>
      <c r="EA95">
        <v>1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6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</row>
    <row r="96" spans="1:172" ht="14.25">
      <c r="A96">
        <v>91</v>
      </c>
      <c r="B96" t="str">
        <f>"100703"</f>
        <v>100703</v>
      </c>
      <c r="C96" t="str">
        <f>"Mniszków"</f>
        <v>Mniszków</v>
      </c>
      <c r="D96" t="str">
        <f t="shared" si="15"/>
        <v>opoczyński</v>
      </c>
      <c r="E96" t="str">
        <f t="shared" si="14"/>
        <v>łódzkie</v>
      </c>
      <c r="F96">
        <v>1</v>
      </c>
      <c r="G96" t="str">
        <f>"Gimnazjum Publiczne, ul. Piotrkowska 72, 26-341 Mniszków"</f>
        <v>Gimnazjum Publiczne, ul. Piotrkowska 72, 26-341 Mniszków</v>
      </c>
      <c r="H96">
        <v>1482</v>
      </c>
      <c r="I96">
        <v>1482</v>
      </c>
      <c r="J96">
        <v>0</v>
      </c>
      <c r="K96">
        <v>1040</v>
      </c>
      <c r="L96">
        <v>733</v>
      </c>
      <c r="M96">
        <v>307</v>
      </c>
      <c r="N96">
        <v>307</v>
      </c>
      <c r="O96">
        <v>0</v>
      </c>
      <c r="P96">
        <v>0</v>
      </c>
      <c r="Q96">
        <v>1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307</v>
      </c>
      <c r="Z96">
        <v>0</v>
      </c>
      <c r="AA96">
        <v>0</v>
      </c>
      <c r="AB96">
        <v>307</v>
      </c>
      <c r="AC96">
        <v>10</v>
      </c>
      <c r="AD96">
        <v>297</v>
      </c>
      <c r="AE96">
        <v>7</v>
      </c>
      <c r="AF96">
        <v>6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1</v>
      </c>
      <c r="AO96">
        <v>0</v>
      </c>
      <c r="AP96">
        <v>7</v>
      </c>
      <c r="AQ96">
        <v>1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1</v>
      </c>
      <c r="BC96">
        <v>7</v>
      </c>
      <c r="BD96">
        <v>3</v>
      </c>
      <c r="BE96">
        <v>1</v>
      </c>
      <c r="BF96">
        <v>0</v>
      </c>
      <c r="BG96">
        <v>1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2</v>
      </c>
      <c r="BN96">
        <v>7</v>
      </c>
      <c r="BO96">
        <v>193</v>
      </c>
      <c r="BP96">
        <v>158</v>
      </c>
      <c r="BQ96">
        <v>1</v>
      </c>
      <c r="BR96">
        <v>3</v>
      </c>
      <c r="BS96">
        <v>0</v>
      </c>
      <c r="BT96">
        <v>0</v>
      </c>
      <c r="BU96">
        <v>27</v>
      </c>
      <c r="BV96">
        <v>1</v>
      </c>
      <c r="BW96">
        <v>0</v>
      </c>
      <c r="BX96">
        <v>2</v>
      </c>
      <c r="BY96">
        <v>1</v>
      </c>
      <c r="BZ96">
        <v>193</v>
      </c>
      <c r="CA96">
        <v>2</v>
      </c>
      <c r="CB96">
        <v>0</v>
      </c>
      <c r="CC96">
        <v>0</v>
      </c>
      <c r="CD96">
        <v>0</v>
      </c>
      <c r="CE96">
        <v>1</v>
      </c>
      <c r="CF96">
        <v>0</v>
      </c>
      <c r="CG96">
        <v>1</v>
      </c>
      <c r="CH96">
        <v>0</v>
      </c>
      <c r="CI96">
        <v>0</v>
      </c>
      <c r="CJ96">
        <v>0</v>
      </c>
      <c r="CK96">
        <v>0</v>
      </c>
      <c r="CL96">
        <v>2</v>
      </c>
      <c r="CM96">
        <v>3</v>
      </c>
      <c r="CN96">
        <v>2</v>
      </c>
      <c r="CO96">
        <v>1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3</v>
      </c>
      <c r="CY96">
        <v>7</v>
      </c>
      <c r="CZ96">
        <v>6</v>
      </c>
      <c r="DA96">
        <v>1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7</v>
      </c>
      <c r="DK96">
        <v>22</v>
      </c>
      <c r="DL96">
        <v>16</v>
      </c>
      <c r="DM96">
        <v>5</v>
      </c>
      <c r="DN96">
        <v>0</v>
      </c>
      <c r="DO96">
        <v>0</v>
      </c>
      <c r="DP96">
        <v>1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22</v>
      </c>
      <c r="DW96">
        <v>51</v>
      </c>
      <c r="DX96">
        <v>1</v>
      </c>
      <c r="DY96">
        <v>0</v>
      </c>
      <c r="DZ96">
        <v>0</v>
      </c>
      <c r="EA96">
        <v>0</v>
      </c>
      <c r="EB96">
        <v>1</v>
      </c>
      <c r="EC96">
        <v>1</v>
      </c>
      <c r="ED96">
        <v>0</v>
      </c>
      <c r="EE96">
        <v>1</v>
      </c>
      <c r="EF96">
        <v>0</v>
      </c>
      <c r="EG96">
        <v>47</v>
      </c>
      <c r="EH96">
        <v>51</v>
      </c>
      <c r="EI96">
        <v>1</v>
      </c>
      <c r="EJ96">
        <v>1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1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3</v>
      </c>
      <c r="FF96">
        <v>0</v>
      </c>
      <c r="FG96">
        <v>3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3</v>
      </c>
    </row>
    <row r="97" spans="1:172" ht="14.25">
      <c r="A97">
        <v>92</v>
      </c>
      <c r="B97" t="str">
        <f>"100703"</f>
        <v>100703</v>
      </c>
      <c r="C97" t="str">
        <f>"Mniszków"</f>
        <v>Mniszków</v>
      </c>
      <c r="D97" t="str">
        <f t="shared" si="15"/>
        <v>opoczyński</v>
      </c>
      <c r="E97" t="str">
        <f t="shared" si="14"/>
        <v>łódzkie</v>
      </c>
      <c r="F97">
        <v>2</v>
      </c>
      <c r="G97" t="str">
        <f>"Świetlica Wiejska, Strzelce 42, 26-341 Mniszków"</f>
        <v>Świetlica Wiejska, Strzelce 42, 26-341 Mniszków</v>
      </c>
      <c r="H97">
        <v>470</v>
      </c>
      <c r="I97">
        <v>470</v>
      </c>
      <c r="J97">
        <v>0</v>
      </c>
      <c r="K97">
        <v>330</v>
      </c>
      <c r="L97">
        <v>242</v>
      </c>
      <c r="M97">
        <v>88</v>
      </c>
      <c r="N97">
        <v>88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88</v>
      </c>
      <c r="Z97">
        <v>0</v>
      </c>
      <c r="AA97">
        <v>0</v>
      </c>
      <c r="AB97">
        <v>88</v>
      </c>
      <c r="AC97">
        <v>2</v>
      </c>
      <c r="AD97">
        <v>86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1</v>
      </c>
      <c r="BD97">
        <v>1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1</v>
      </c>
      <c r="BO97">
        <v>61</v>
      </c>
      <c r="BP97">
        <v>41</v>
      </c>
      <c r="BQ97">
        <v>0</v>
      </c>
      <c r="BR97">
        <v>0</v>
      </c>
      <c r="BS97">
        <v>0</v>
      </c>
      <c r="BT97">
        <v>0</v>
      </c>
      <c r="BU97">
        <v>18</v>
      </c>
      <c r="BV97">
        <v>0</v>
      </c>
      <c r="BW97">
        <v>0</v>
      </c>
      <c r="BX97">
        <v>0</v>
      </c>
      <c r="BY97">
        <v>2</v>
      </c>
      <c r="BZ97">
        <v>61</v>
      </c>
      <c r="CA97">
        <v>1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1</v>
      </c>
      <c r="CJ97">
        <v>0</v>
      </c>
      <c r="CK97">
        <v>0</v>
      </c>
      <c r="CL97">
        <v>1</v>
      </c>
      <c r="CM97">
        <v>1</v>
      </c>
      <c r="CN97">
        <v>1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1</v>
      </c>
      <c r="CY97">
        <v>1</v>
      </c>
      <c r="CZ97">
        <v>1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1</v>
      </c>
      <c r="DK97">
        <v>5</v>
      </c>
      <c r="DL97">
        <v>3</v>
      </c>
      <c r="DM97">
        <v>1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1</v>
      </c>
      <c r="DV97">
        <v>5</v>
      </c>
      <c r="DW97">
        <v>15</v>
      </c>
      <c r="DX97">
        <v>2</v>
      </c>
      <c r="DY97">
        <v>0</v>
      </c>
      <c r="DZ97">
        <v>0</v>
      </c>
      <c r="EA97">
        <v>1</v>
      </c>
      <c r="EB97">
        <v>0</v>
      </c>
      <c r="EC97">
        <v>1</v>
      </c>
      <c r="ED97">
        <v>0</v>
      </c>
      <c r="EE97">
        <v>1</v>
      </c>
      <c r="EF97">
        <v>0</v>
      </c>
      <c r="EG97">
        <v>10</v>
      </c>
      <c r="EH97">
        <v>15</v>
      </c>
      <c r="EI97">
        <v>1</v>
      </c>
      <c r="EJ97">
        <v>0</v>
      </c>
      <c r="EK97">
        <v>1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1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</row>
    <row r="98" spans="1:172" ht="14.25">
      <c r="A98">
        <v>93</v>
      </c>
      <c r="B98" t="str">
        <f>"100703"</f>
        <v>100703</v>
      </c>
      <c r="C98" t="str">
        <f>"Mniszków"</f>
        <v>Mniszków</v>
      </c>
      <c r="D98" t="str">
        <f t="shared" si="15"/>
        <v>opoczyński</v>
      </c>
      <c r="E98" t="str">
        <f t="shared" si="14"/>
        <v>łódzkie</v>
      </c>
      <c r="F98">
        <v>3</v>
      </c>
      <c r="G98" t="str">
        <f>"Szkoła Podstawowa, Błogie Rządowe 39, 26-341 Mniszków"</f>
        <v>Szkoła Podstawowa, Błogie Rządowe 39, 26-341 Mniszków</v>
      </c>
      <c r="H98">
        <v>1055</v>
      </c>
      <c r="I98">
        <v>1055</v>
      </c>
      <c r="J98">
        <v>0</v>
      </c>
      <c r="K98">
        <v>740</v>
      </c>
      <c r="L98">
        <v>542</v>
      </c>
      <c r="M98">
        <v>198</v>
      </c>
      <c r="N98">
        <v>198</v>
      </c>
      <c r="O98">
        <v>0</v>
      </c>
      <c r="P98">
        <v>0</v>
      </c>
      <c r="Q98">
        <v>7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198</v>
      </c>
      <c r="Z98">
        <v>0</v>
      </c>
      <c r="AA98">
        <v>0</v>
      </c>
      <c r="AB98">
        <v>198</v>
      </c>
      <c r="AC98">
        <v>11</v>
      </c>
      <c r="AD98">
        <v>187</v>
      </c>
      <c r="AE98">
        <v>4</v>
      </c>
      <c r="AF98">
        <v>2</v>
      </c>
      <c r="AG98">
        <v>0</v>
      </c>
      <c r="AH98">
        <v>1</v>
      </c>
      <c r="AI98">
        <v>0</v>
      </c>
      <c r="AJ98">
        <v>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4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2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2</v>
      </c>
      <c r="BN98">
        <v>2</v>
      </c>
      <c r="BO98">
        <v>121</v>
      </c>
      <c r="BP98">
        <v>90</v>
      </c>
      <c r="BQ98">
        <v>4</v>
      </c>
      <c r="BR98">
        <v>1</v>
      </c>
      <c r="BS98">
        <v>0</v>
      </c>
      <c r="BT98">
        <v>3</v>
      </c>
      <c r="BU98">
        <v>23</v>
      </c>
      <c r="BV98">
        <v>0</v>
      </c>
      <c r="BW98">
        <v>0</v>
      </c>
      <c r="BX98">
        <v>0</v>
      </c>
      <c r="BY98">
        <v>0</v>
      </c>
      <c r="BZ98">
        <v>121</v>
      </c>
      <c r="CA98">
        <v>1</v>
      </c>
      <c r="CB98">
        <v>0</v>
      </c>
      <c r="CC98">
        <v>0</v>
      </c>
      <c r="CD98">
        <v>1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1</v>
      </c>
      <c r="CM98">
        <v>3</v>
      </c>
      <c r="CN98">
        <v>2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3</v>
      </c>
      <c r="CY98">
        <v>2</v>
      </c>
      <c r="CZ98">
        <v>1</v>
      </c>
      <c r="DA98">
        <v>1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2</v>
      </c>
      <c r="DK98">
        <v>11</v>
      </c>
      <c r="DL98">
        <v>8</v>
      </c>
      <c r="DM98">
        <v>0</v>
      </c>
      <c r="DN98">
        <v>0</v>
      </c>
      <c r="DO98">
        <v>0</v>
      </c>
      <c r="DP98">
        <v>2</v>
      </c>
      <c r="DQ98">
        <v>0</v>
      </c>
      <c r="DR98">
        <v>0</v>
      </c>
      <c r="DS98">
        <v>1</v>
      </c>
      <c r="DT98">
        <v>0</v>
      </c>
      <c r="DU98">
        <v>0</v>
      </c>
      <c r="DV98">
        <v>11</v>
      </c>
      <c r="DW98">
        <v>40</v>
      </c>
      <c r="DX98">
        <v>3</v>
      </c>
      <c r="DY98">
        <v>20</v>
      </c>
      <c r="DZ98">
        <v>0</v>
      </c>
      <c r="EA98">
        <v>0</v>
      </c>
      <c r="EB98">
        <v>1</v>
      </c>
      <c r="EC98">
        <v>0</v>
      </c>
      <c r="ED98">
        <v>0</v>
      </c>
      <c r="EE98">
        <v>1</v>
      </c>
      <c r="EF98">
        <v>0</v>
      </c>
      <c r="EG98">
        <v>15</v>
      </c>
      <c r="EH98">
        <v>40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3</v>
      </c>
      <c r="FF98">
        <v>2</v>
      </c>
      <c r="FG98">
        <v>0</v>
      </c>
      <c r="FH98">
        <v>0</v>
      </c>
      <c r="FI98">
        <v>0</v>
      </c>
      <c r="FJ98">
        <v>1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3</v>
      </c>
    </row>
    <row r="99" spans="1:172" ht="14.25">
      <c r="A99">
        <v>94</v>
      </c>
      <c r="B99" t="str">
        <f>"100703"</f>
        <v>100703</v>
      </c>
      <c r="C99" t="str">
        <f>"Mniszków"</f>
        <v>Mniszków</v>
      </c>
      <c r="D99" t="str">
        <f t="shared" si="15"/>
        <v>opoczyński</v>
      </c>
      <c r="E99" t="str">
        <f t="shared" si="14"/>
        <v>łódzkie</v>
      </c>
      <c r="F99">
        <v>4</v>
      </c>
      <c r="G99" t="str">
        <f>"Szkoła Podstawowa, Bukowiec nad Pilicą 34, 26-341 Mniszków"</f>
        <v>Szkoła Podstawowa, Bukowiec nad Pilicą 34, 26-341 Mniszków</v>
      </c>
      <c r="H99">
        <v>738</v>
      </c>
      <c r="I99">
        <v>738</v>
      </c>
      <c r="J99">
        <v>0</v>
      </c>
      <c r="K99">
        <v>520</v>
      </c>
      <c r="L99">
        <v>390</v>
      </c>
      <c r="M99">
        <v>130</v>
      </c>
      <c r="N99">
        <v>130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130</v>
      </c>
      <c r="Z99">
        <v>0</v>
      </c>
      <c r="AA99">
        <v>0</v>
      </c>
      <c r="AB99">
        <v>130</v>
      </c>
      <c r="AC99">
        <v>7</v>
      </c>
      <c r="AD99">
        <v>123</v>
      </c>
      <c r="AE99">
        <v>6</v>
      </c>
      <c r="AF99">
        <v>1</v>
      </c>
      <c r="AG99">
        <v>1</v>
      </c>
      <c r="AH99">
        <v>0</v>
      </c>
      <c r="AI99">
        <v>1</v>
      </c>
      <c r="AJ99">
        <v>2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6</v>
      </c>
      <c r="AQ99">
        <v>1</v>
      </c>
      <c r="AR99">
        <v>1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1</v>
      </c>
      <c r="BC99">
        <v>2</v>
      </c>
      <c r="BD99">
        <v>1</v>
      </c>
      <c r="BE99">
        <v>0</v>
      </c>
      <c r="BF99">
        <v>0</v>
      </c>
      <c r="BG99">
        <v>1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2</v>
      </c>
      <c r="BO99">
        <v>73</v>
      </c>
      <c r="BP99">
        <v>35</v>
      </c>
      <c r="BQ99">
        <v>0</v>
      </c>
      <c r="BR99">
        <v>0</v>
      </c>
      <c r="BS99">
        <v>1</v>
      </c>
      <c r="BT99">
        <v>0</v>
      </c>
      <c r="BU99">
        <v>37</v>
      </c>
      <c r="BV99">
        <v>0</v>
      </c>
      <c r="BW99">
        <v>0</v>
      </c>
      <c r="BX99">
        <v>0</v>
      </c>
      <c r="BY99">
        <v>0</v>
      </c>
      <c r="BZ99">
        <v>73</v>
      </c>
      <c r="CA99">
        <v>3</v>
      </c>
      <c r="CB99">
        <v>0</v>
      </c>
      <c r="CC99">
        <v>0</v>
      </c>
      <c r="CD99">
        <v>1</v>
      </c>
      <c r="CE99">
        <v>2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3</v>
      </c>
      <c r="CM99">
        <v>4</v>
      </c>
      <c r="CN99">
        <v>1</v>
      </c>
      <c r="CO99">
        <v>3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4</v>
      </c>
      <c r="CY99">
        <v>4</v>
      </c>
      <c r="CZ99">
        <v>3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1</v>
      </c>
      <c r="DI99">
        <v>0</v>
      </c>
      <c r="DJ99">
        <v>4</v>
      </c>
      <c r="DK99">
        <v>13</v>
      </c>
      <c r="DL99">
        <v>8</v>
      </c>
      <c r="DM99">
        <v>3</v>
      </c>
      <c r="DN99">
        <v>0</v>
      </c>
      <c r="DO99">
        <v>0</v>
      </c>
      <c r="DP99">
        <v>2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13</v>
      </c>
      <c r="DW99">
        <v>17</v>
      </c>
      <c r="DX99">
        <v>2</v>
      </c>
      <c r="DY99">
        <v>2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13</v>
      </c>
      <c r="EH99">
        <v>17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</row>
    <row r="100" spans="1:172" ht="14.25">
      <c r="A100">
        <v>95</v>
      </c>
      <c r="B100" t="str">
        <f aca="true" t="shared" si="18" ref="B100:B125">"100704"</f>
        <v>100704</v>
      </c>
      <c r="C100" t="str">
        <f aca="true" t="shared" si="19" ref="C100:C125">"Opoczno"</f>
        <v>Opoczno</v>
      </c>
      <c r="D100" t="str">
        <f t="shared" si="15"/>
        <v>opoczyński</v>
      </c>
      <c r="E100" t="str">
        <f t="shared" si="14"/>
        <v>łódzkie</v>
      </c>
      <c r="F100">
        <v>1</v>
      </c>
      <c r="G100" t="str">
        <f>"Szkoła Podstawowa w Kraśnicy, Kraśnica 58, 26-300 Opoczno"</f>
        <v>Szkoła Podstawowa w Kraśnicy, Kraśnica 58, 26-300 Opoczno</v>
      </c>
      <c r="H100">
        <v>996</v>
      </c>
      <c r="I100">
        <v>996</v>
      </c>
      <c r="J100">
        <v>0</v>
      </c>
      <c r="K100">
        <v>690</v>
      </c>
      <c r="L100">
        <v>506</v>
      </c>
      <c r="M100">
        <v>184</v>
      </c>
      <c r="N100">
        <v>184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184</v>
      </c>
      <c r="Z100">
        <v>0</v>
      </c>
      <c r="AA100">
        <v>0</v>
      </c>
      <c r="AB100">
        <v>184</v>
      </c>
      <c r="AC100">
        <v>7</v>
      </c>
      <c r="AD100">
        <v>177</v>
      </c>
      <c r="AE100">
        <v>9</v>
      </c>
      <c r="AF100">
        <v>3</v>
      </c>
      <c r="AG100">
        <v>0</v>
      </c>
      <c r="AH100">
        <v>0</v>
      </c>
      <c r="AI100">
        <v>0</v>
      </c>
      <c r="AJ100">
        <v>4</v>
      </c>
      <c r="AK100">
        <v>0</v>
      </c>
      <c r="AL100">
        <v>0</v>
      </c>
      <c r="AM100">
        <v>2</v>
      </c>
      <c r="AN100">
        <v>0</v>
      </c>
      <c r="AO100">
        <v>0</v>
      </c>
      <c r="AP100">
        <v>9</v>
      </c>
      <c r="AQ100">
        <v>1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1</v>
      </c>
      <c r="BB100">
        <v>1</v>
      </c>
      <c r="BC100">
        <v>9</v>
      </c>
      <c r="BD100">
        <v>9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9</v>
      </c>
      <c r="BO100">
        <v>100</v>
      </c>
      <c r="BP100">
        <v>61</v>
      </c>
      <c r="BQ100">
        <v>2</v>
      </c>
      <c r="BR100">
        <v>0</v>
      </c>
      <c r="BS100">
        <v>0</v>
      </c>
      <c r="BT100">
        <v>0</v>
      </c>
      <c r="BU100">
        <v>36</v>
      </c>
      <c r="BV100">
        <v>1</v>
      </c>
      <c r="BW100">
        <v>0</v>
      </c>
      <c r="BX100">
        <v>0</v>
      </c>
      <c r="BY100">
        <v>0</v>
      </c>
      <c r="BZ100">
        <v>100</v>
      </c>
      <c r="CA100">
        <v>3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1</v>
      </c>
      <c r="CH100">
        <v>0</v>
      </c>
      <c r="CI100">
        <v>1</v>
      </c>
      <c r="CJ100">
        <v>0</v>
      </c>
      <c r="CK100">
        <v>1</v>
      </c>
      <c r="CL100">
        <v>3</v>
      </c>
      <c r="CM100">
        <v>6</v>
      </c>
      <c r="CN100">
        <v>3</v>
      </c>
      <c r="CO100">
        <v>0</v>
      </c>
      <c r="CP100">
        <v>0</v>
      </c>
      <c r="CQ100">
        <v>1</v>
      </c>
      <c r="CR100">
        <v>1</v>
      </c>
      <c r="CS100">
        <v>0</v>
      </c>
      <c r="CT100">
        <v>0</v>
      </c>
      <c r="CU100">
        <v>0</v>
      </c>
      <c r="CV100">
        <v>0</v>
      </c>
      <c r="CW100">
        <v>1</v>
      </c>
      <c r="CX100">
        <v>6</v>
      </c>
      <c r="CY100">
        <v>11</v>
      </c>
      <c r="CZ100">
        <v>7</v>
      </c>
      <c r="DA100">
        <v>0</v>
      </c>
      <c r="DB100">
        <v>1</v>
      </c>
      <c r="DC100">
        <v>1</v>
      </c>
      <c r="DD100">
        <v>1</v>
      </c>
      <c r="DE100">
        <v>0</v>
      </c>
      <c r="DF100">
        <v>1</v>
      </c>
      <c r="DG100">
        <v>0</v>
      </c>
      <c r="DH100">
        <v>0</v>
      </c>
      <c r="DI100">
        <v>0</v>
      </c>
      <c r="DJ100">
        <v>11</v>
      </c>
      <c r="DK100">
        <v>7</v>
      </c>
      <c r="DL100">
        <v>6</v>
      </c>
      <c r="DM100">
        <v>1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7</v>
      </c>
      <c r="DW100">
        <v>30</v>
      </c>
      <c r="DX100">
        <v>2</v>
      </c>
      <c r="DY100">
        <v>8</v>
      </c>
      <c r="DZ100">
        <v>0</v>
      </c>
      <c r="EA100">
        <v>0</v>
      </c>
      <c r="EB100">
        <v>2</v>
      </c>
      <c r="EC100">
        <v>1</v>
      </c>
      <c r="ED100">
        <v>0</v>
      </c>
      <c r="EE100">
        <v>2</v>
      </c>
      <c r="EF100">
        <v>1</v>
      </c>
      <c r="EG100">
        <v>14</v>
      </c>
      <c r="EH100">
        <v>30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1</v>
      </c>
      <c r="FF100">
        <v>0</v>
      </c>
      <c r="FG100">
        <v>1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1</v>
      </c>
    </row>
    <row r="101" spans="1:172" ht="14.25">
      <c r="A101">
        <v>96</v>
      </c>
      <c r="B101" t="str">
        <f t="shared" si="18"/>
        <v>100704</v>
      </c>
      <c r="C101" t="str">
        <f t="shared" si="19"/>
        <v>Opoczno</v>
      </c>
      <c r="D101" t="str">
        <f t="shared" si="15"/>
        <v>opoczyński</v>
      </c>
      <c r="E101" t="str">
        <f t="shared" si="14"/>
        <v>łódzkie</v>
      </c>
      <c r="F101">
        <v>2</v>
      </c>
      <c r="G101" t="str">
        <f>"Szkoła Podstawowa w Kruszewcu, Kruszewiec 7, 26-300 Opoczno"</f>
        <v>Szkoła Podstawowa w Kruszewcu, Kruszewiec 7, 26-300 Opoczno</v>
      </c>
      <c r="H101">
        <v>456</v>
      </c>
      <c r="I101">
        <v>456</v>
      </c>
      <c r="J101">
        <v>0</v>
      </c>
      <c r="K101">
        <v>320</v>
      </c>
      <c r="L101">
        <v>236</v>
      </c>
      <c r="M101">
        <v>84</v>
      </c>
      <c r="N101">
        <v>84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84</v>
      </c>
      <c r="Z101">
        <v>0</v>
      </c>
      <c r="AA101">
        <v>0</v>
      </c>
      <c r="AB101">
        <v>84</v>
      </c>
      <c r="AC101">
        <v>3</v>
      </c>
      <c r="AD101">
        <v>81</v>
      </c>
      <c r="AE101">
        <v>2</v>
      </c>
      <c r="AF101">
        <v>1</v>
      </c>
      <c r="AG101">
        <v>0</v>
      </c>
      <c r="AH101">
        <v>0</v>
      </c>
      <c r="AI101">
        <v>0</v>
      </c>
      <c r="AJ101">
        <v>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2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39</v>
      </c>
      <c r="BP101">
        <v>20</v>
      </c>
      <c r="BQ101">
        <v>0</v>
      </c>
      <c r="BR101">
        <v>0</v>
      </c>
      <c r="BS101">
        <v>1</v>
      </c>
      <c r="BT101">
        <v>0</v>
      </c>
      <c r="BU101">
        <v>17</v>
      </c>
      <c r="BV101">
        <v>0</v>
      </c>
      <c r="BW101">
        <v>0</v>
      </c>
      <c r="BX101">
        <v>1</v>
      </c>
      <c r="BY101">
        <v>0</v>
      </c>
      <c r="BZ101">
        <v>39</v>
      </c>
      <c r="CA101">
        <v>1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1</v>
      </c>
      <c r="CH101">
        <v>0</v>
      </c>
      <c r="CI101">
        <v>0</v>
      </c>
      <c r="CJ101">
        <v>0</v>
      </c>
      <c r="CK101">
        <v>0</v>
      </c>
      <c r="CL101">
        <v>1</v>
      </c>
      <c r="CM101">
        <v>2</v>
      </c>
      <c r="CN101">
        <v>1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2</v>
      </c>
      <c r="CY101">
        <v>9</v>
      </c>
      <c r="CZ101">
        <v>7</v>
      </c>
      <c r="DA101">
        <v>1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1</v>
      </c>
      <c r="DJ101">
        <v>9</v>
      </c>
      <c r="DK101">
        <v>2</v>
      </c>
      <c r="DL101">
        <v>0</v>
      </c>
      <c r="DM101">
        <v>1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1</v>
      </c>
      <c r="DT101">
        <v>0</v>
      </c>
      <c r="DU101">
        <v>0</v>
      </c>
      <c r="DV101">
        <v>2</v>
      </c>
      <c r="DW101">
        <v>26</v>
      </c>
      <c r="DX101">
        <v>0</v>
      </c>
      <c r="DY101">
        <v>10</v>
      </c>
      <c r="DZ101">
        <v>0</v>
      </c>
      <c r="EA101">
        <v>0</v>
      </c>
      <c r="EB101">
        <v>2</v>
      </c>
      <c r="EC101">
        <v>0</v>
      </c>
      <c r="ED101">
        <v>0</v>
      </c>
      <c r="EE101">
        <v>2</v>
      </c>
      <c r="EF101">
        <v>0</v>
      </c>
      <c r="EG101">
        <v>12</v>
      </c>
      <c r="EH101">
        <v>26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</row>
    <row r="102" spans="1:172" ht="14.25">
      <c r="A102">
        <v>97</v>
      </c>
      <c r="B102" t="str">
        <f t="shared" si="18"/>
        <v>100704</v>
      </c>
      <c r="C102" t="str">
        <f t="shared" si="19"/>
        <v>Opoczno</v>
      </c>
      <c r="D102" t="str">
        <f t="shared" si="15"/>
        <v>opoczyński</v>
      </c>
      <c r="E102" t="str">
        <f t="shared" si="14"/>
        <v>łódzkie</v>
      </c>
      <c r="F102">
        <v>3</v>
      </c>
      <c r="G102" t="str">
        <f>"Szkoła Podstawowa w Libiszowie, Libiszów 64, 26-300 Opoczno"</f>
        <v>Szkoła Podstawowa w Libiszowie, Libiszów 64, 26-300 Opoczno</v>
      </c>
      <c r="H102">
        <v>1002</v>
      </c>
      <c r="I102">
        <v>1002</v>
      </c>
      <c r="J102">
        <v>0</v>
      </c>
      <c r="K102">
        <v>710</v>
      </c>
      <c r="L102">
        <v>529</v>
      </c>
      <c r="M102">
        <v>181</v>
      </c>
      <c r="N102">
        <v>181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181</v>
      </c>
      <c r="Z102">
        <v>0</v>
      </c>
      <c r="AA102">
        <v>0</v>
      </c>
      <c r="AB102">
        <v>181</v>
      </c>
      <c r="AC102">
        <v>6</v>
      </c>
      <c r="AD102">
        <v>175</v>
      </c>
      <c r="AE102">
        <v>12</v>
      </c>
      <c r="AF102">
        <v>5</v>
      </c>
      <c r="AG102">
        <v>0</v>
      </c>
      <c r="AH102">
        <v>0</v>
      </c>
      <c r="AI102">
        <v>2</v>
      </c>
      <c r="AJ102">
        <v>4</v>
      </c>
      <c r="AK102">
        <v>1</v>
      </c>
      <c r="AL102">
        <v>0</v>
      </c>
      <c r="AM102">
        <v>0</v>
      </c>
      <c r="AN102">
        <v>0</v>
      </c>
      <c r="AO102">
        <v>0</v>
      </c>
      <c r="AP102">
        <v>12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4</v>
      </c>
      <c r="BD102">
        <v>0</v>
      </c>
      <c r="BE102">
        <v>2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2</v>
      </c>
      <c r="BN102">
        <v>4</v>
      </c>
      <c r="BO102">
        <v>123</v>
      </c>
      <c r="BP102">
        <v>61</v>
      </c>
      <c r="BQ102">
        <v>3</v>
      </c>
      <c r="BR102">
        <v>0</v>
      </c>
      <c r="BS102">
        <v>0</v>
      </c>
      <c r="BT102">
        <v>0</v>
      </c>
      <c r="BU102">
        <v>58</v>
      </c>
      <c r="BV102">
        <v>0</v>
      </c>
      <c r="BW102">
        <v>0</v>
      </c>
      <c r="BX102">
        <v>0</v>
      </c>
      <c r="BY102">
        <v>1</v>
      </c>
      <c r="BZ102">
        <v>123</v>
      </c>
      <c r="CA102">
        <v>2</v>
      </c>
      <c r="CB102">
        <v>0</v>
      </c>
      <c r="CC102">
        <v>1</v>
      </c>
      <c r="CD102">
        <v>0</v>
      </c>
      <c r="CE102">
        <v>0</v>
      </c>
      <c r="CF102">
        <v>1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2</v>
      </c>
      <c r="CM102">
        <v>10</v>
      </c>
      <c r="CN102">
        <v>7</v>
      </c>
      <c r="CO102">
        <v>0</v>
      </c>
      <c r="CP102">
        <v>0</v>
      </c>
      <c r="CQ102">
        <v>0</v>
      </c>
      <c r="CR102">
        <v>1</v>
      </c>
      <c r="CS102">
        <v>1</v>
      </c>
      <c r="CT102">
        <v>0</v>
      </c>
      <c r="CU102">
        <v>0</v>
      </c>
      <c r="CV102">
        <v>1</v>
      </c>
      <c r="CW102">
        <v>0</v>
      </c>
      <c r="CX102">
        <v>10</v>
      </c>
      <c r="CY102">
        <v>6</v>
      </c>
      <c r="CZ102">
        <v>4</v>
      </c>
      <c r="DA102">
        <v>1</v>
      </c>
      <c r="DB102">
        <v>0</v>
      </c>
      <c r="DC102">
        <v>1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6</v>
      </c>
      <c r="DK102">
        <v>8</v>
      </c>
      <c r="DL102">
        <v>4</v>
      </c>
      <c r="DM102">
        <v>0</v>
      </c>
      <c r="DN102">
        <v>0</v>
      </c>
      <c r="DO102">
        <v>1</v>
      </c>
      <c r="DP102">
        <v>0</v>
      </c>
      <c r="DQ102">
        <v>0</v>
      </c>
      <c r="DR102">
        <v>1</v>
      </c>
      <c r="DS102">
        <v>2</v>
      </c>
      <c r="DT102">
        <v>0</v>
      </c>
      <c r="DU102">
        <v>0</v>
      </c>
      <c r="DV102">
        <v>8</v>
      </c>
      <c r="DW102">
        <v>8</v>
      </c>
      <c r="DX102">
        <v>0</v>
      </c>
      <c r="DY102">
        <v>2</v>
      </c>
      <c r="DZ102">
        <v>0</v>
      </c>
      <c r="EA102">
        <v>0</v>
      </c>
      <c r="EB102">
        <v>2</v>
      </c>
      <c r="EC102">
        <v>1</v>
      </c>
      <c r="ED102">
        <v>0</v>
      </c>
      <c r="EE102">
        <v>1</v>
      </c>
      <c r="EF102">
        <v>0</v>
      </c>
      <c r="EG102">
        <v>2</v>
      </c>
      <c r="EH102">
        <v>8</v>
      </c>
      <c r="EI102">
        <v>1</v>
      </c>
      <c r="EJ102">
        <v>0</v>
      </c>
      <c r="EK102">
        <v>0</v>
      </c>
      <c r="EL102">
        <v>0</v>
      </c>
      <c r="EM102">
        <v>0</v>
      </c>
      <c r="EN102">
        <v>1</v>
      </c>
      <c r="EO102">
        <v>0</v>
      </c>
      <c r="EP102">
        <v>0</v>
      </c>
      <c r="EQ102">
        <v>0</v>
      </c>
      <c r="ER102">
        <v>1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1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1</v>
      </c>
      <c r="FP102">
        <v>1</v>
      </c>
    </row>
    <row r="103" spans="1:172" ht="14.25">
      <c r="A103">
        <v>98</v>
      </c>
      <c r="B103" t="str">
        <f t="shared" si="18"/>
        <v>100704</v>
      </c>
      <c r="C103" t="str">
        <f t="shared" si="19"/>
        <v>Opoczno</v>
      </c>
      <c r="D103" t="str">
        <f t="shared" si="15"/>
        <v>opoczyński</v>
      </c>
      <c r="E103" t="str">
        <f t="shared" si="14"/>
        <v>łódzkie</v>
      </c>
      <c r="F103">
        <v>4</v>
      </c>
      <c r="G103" t="str">
        <f>"Szkoła Podstawowa w Januszewicach, Januszewice 67, 26-300 Opoczno"</f>
        <v>Szkoła Podstawowa w Januszewicach, Januszewice 67, 26-300 Opoczno</v>
      </c>
      <c r="H103">
        <v>589</v>
      </c>
      <c r="I103">
        <v>589</v>
      </c>
      <c r="J103">
        <v>0</v>
      </c>
      <c r="K103">
        <v>410</v>
      </c>
      <c r="L103">
        <v>250</v>
      </c>
      <c r="M103">
        <v>160</v>
      </c>
      <c r="N103">
        <v>160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160</v>
      </c>
      <c r="Z103">
        <v>0</v>
      </c>
      <c r="AA103">
        <v>0</v>
      </c>
      <c r="AB103">
        <v>160</v>
      </c>
      <c r="AC103">
        <v>3</v>
      </c>
      <c r="AD103">
        <v>157</v>
      </c>
      <c r="AE103">
        <v>11</v>
      </c>
      <c r="AF103">
        <v>1</v>
      </c>
      <c r="AG103">
        <v>1</v>
      </c>
      <c r="AH103">
        <v>0</v>
      </c>
      <c r="AI103">
        <v>0</v>
      </c>
      <c r="AJ103">
        <v>9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11</v>
      </c>
      <c r="AQ103">
        <v>2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2</v>
      </c>
      <c r="BA103">
        <v>0</v>
      </c>
      <c r="BB103">
        <v>2</v>
      </c>
      <c r="BC103">
        <v>3</v>
      </c>
      <c r="BD103">
        <v>1</v>
      </c>
      <c r="BE103">
        <v>2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3</v>
      </c>
      <c r="BO103">
        <v>113</v>
      </c>
      <c r="BP103">
        <v>71</v>
      </c>
      <c r="BQ103">
        <v>3</v>
      </c>
      <c r="BR103">
        <v>1</v>
      </c>
      <c r="BS103">
        <v>0</v>
      </c>
      <c r="BT103">
        <v>0</v>
      </c>
      <c r="BU103">
        <v>37</v>
      </c>
      <c r="BV103">
        <v>1</v>
      </c>
      <c r="BW103">
        <v>0</v>
      </c>
      <c r="BX103">
        <v>0</v>
      </c>
      <c r="BY103">
        <v>0</v>
      </c>
      <c r="BZ103">
        <v>113</v>
      </c>
      <c r="CA103">
        <v>2</v>
      </c>
      <c r="CB103">
        <v>1</v>
      </c>
      <c r="CC103">
        <v>0</v>
      </c>
      <c r="CD103">
        <v>0</v>
      </c>
      <c r="CE103">
        <v>0</v>
      </c>
      <c r="CF103">
        <v>0</v>
      </c>
      <c r="CG103">
        <v>1</v>
      </c>
      <c r="CH103">
        <v>0</v>
      </c>
      <c r="CI103">
        <v>0</v>
      </c>
      <c r="CJ103">
        <v>0</v>
      </c>
      <c r="CK103">
        <v>0</v>
      </c>
      <c r="CL103">
        <v>2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3</v>
      </c>
      <c r="CZ103">
        <v>2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1</v>
      </c>
      <c r="DI103">
        <v>0</v>
      </c>
      <c r="DJ103">
        <v>3</v>
      </c>
      <c r="DK103">
        <v>5</v>
      </c>
      <c r="DL103">
        <v>3</v>
      </c>
      <c r="DM103">
        <v>0</v>
      </c>
      <c r="DN103">
        <v>0</v>
      </c>
      <c r="DO103">
        <v>0</v>
      </c>
      <c r="DP103">
        <v>2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5</v>
      </c>
      <c r="DW103">
        <v>18</v>
      </c>
      <c r="DX103">
        <v>0</v>
      </c>
      <c r="DY103">
        <v>4</v>
      </c>
      <c r="DZ103">
        <v>0</v>
      </c>
      <c r="EA103">
        <v>0</v>
      </c>
      <c r="EB103">
        <v>0</v>
      </c>
      <c r="EC103">
        <v>0</v>
      </c>
      <c r="ED103">
        <v>1</v>
      </c>
      <c r="EE103">
        <v>0</v>
      </c>
      <c r="EF103">
        <v>0</v>
      </c>
      <c r="EG103">
        <v>13</v>
      </c>
      <c r="EH103">
        <v>18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</row>
    <row r="104" spans="1:172" ht="14.25">
      <c r="A104">
        <v>99</v>
      </c>
      <c r="B104" t="str">
        <f t="shared" si="18"/>
        <v>100704</v>
      </c>
      <c r="C104" t="str">
        <f t="shared" si="19"/>
        <v>Opoczno</v>
      </c>
      <c r="D104" t="str">
        <f t="shared" si="15"/>
        <v>opoczyński</v>
      </c>
      <c r="E104" t="str">
        <f t="shared" si="14"/>
        <v>łódzkie</v>
      </c>
      <c r="F104">
        <v>5</v>
      </c>
      <c r="G104" t="str">
        <f>"Zespół Szkół w Bukowcu Opoczyńskim, Bukowiec Opoczyński 74, 26-300 Opoczno"</f>
        <v>Zespół Szkół w Bukowcu Opoczyńskim, Bukowiec Opoczyński 74, 26-300 Opoczno</v>
      </c>
      <c r="H104">
        <v>869</v>
      </c>
      <c r="I104">
        <v>869</v>
      </c>
      <c r="J104">
        <v>0</v>
      </c>
      <c r="K104">
        <v>610</v>
      </c>
      <c r="L104">
        <v>488</v>
      </c>
      <c r="M104">
        <v>122</v>
      </c>
      <c r="N104">
        <v>122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122</v>
      </c>
      <c r="Z104">
        <v>0</v>
      </c>
      <c r="AA104">
        <v>0</v>
      </c>
      <c r="AB104">
        <v>122</v>
      </c>
      <c r="AC104">
        <v>2</v>
      </c>
      <c r="AD104">
        <v>120</v>
      </c>
      <c r="AE104">
        <v>1</v>
      </c>
      <c r="AF104">
        <v>1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1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2</v>
      </c>
      <c r="BD104">
        <v>2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2</v>
      </c>
      <c r="BO104">
        <v>79</v>
      </c>
      <c r="BP104">
        <v>46</v>
      </c>
      <c r="BQ104">
        <v>1</v>
      </c>
      <c r="BR104">
        <v>0</v>
      </c>
      <c r="BS104">
        <v>0</v>
      </c>
      <c r="BT104">
        <v>0</v>
      </c>
      <c r="BU104">
        <v>32</v>
      </c>
      <c r="BV104">
        <v>0</v>
      </c>
      <c r="BW104">
        <v>0</v>
      </c>
      <c r="BX104">
        <v>0</v>
      </c>
      <c r="BY104">
        <v>0</v>
      </c>
      <c r="BZ104">
        <v>79</v>
      </c>
      <c r="CA104">
        <v>1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1</v>
      </c>
      <c r="CM104">
        <v>3</v>
      </c>
      <c r="CN104">
        <v>2</v>
      </c>
      <c r="CO104">
        <v>1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3</v>
      </c>
      <c r="CY104">
        <v>3</v>
      </c>
      <c r="CZ104">
        <v>2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1</v>
      </c>
      <c r="DH104">
        <v>0</v>
      </c>
      <c r="DI104">
        <v>0</v>
      </c>
      <c r="DJ104">
        <v>3</v>
      </c>
      <c r="DK104">
        <v>7</v>
      </c>
      <c r="DL104">
        <v>5</v>
      </c>
      <c r="DM104">
        <v>0</v>
      </c>
      <c r="DN104">
        <v>0</v>
      </c>
      <c r="DO104">
        <v>0</v>
      </c>
      <c r="DP104">
        <v>0</v>
      </c>
      <c r="DQ104">
        <v>1</v>
      </c>
      <c r="DR104">
        <v>0</v>
      </c>
      <c r="DS104">
        <v>0</v>
      </c>
      <c r="DT104">
        <v>0</v>
      </c>
      <c r="DU104">
        <v>1</v>
      </c>
      <c r="DV104">
        <v>7</v>
      </c>
      <c r="DW104">
        <v>23</v>
      </c>
      <c r="DX104">
        <v>1</v>
      </c>
      <c r="DY104">
        <v>0</v>
      </c>
      <c r="DZ104">
        <v>0</v>
      </c>
      <c r="EA104">
        <v>0</v>
      </c>
      <c r="EB104">
        <v>3</v>
      </c>
      <c r="EC104">
        <v>9</v>
      </c>
      <c r="ED104">
        <v>0</v>
      </c>
      <c r="EE104">
        <v>0</v>
      </c>
      <c r="EF104">
        <v>0</v>
      </c>
      <c r="EG104">
        <v>10</v>
      </c>
      <c r="EH104">
        <v>23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1</v>
      </c>
      <c r="ET104">
        <v>1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1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</row>
    <row r="105" spans="1:172" ht="14.25">
      <c r="A105">
        <v>100</v>
      </c>
      <c r="B105" t="str">
        <f t="shared" si="18"/>
        <v>100704</v>
      </c>
      <c r="C105" t="str">
        <f t="shared" si="19"/>
        <v>Opoczno</v>
      </c>
      <c r="D105" t="str">
        <f t="shared" si="15"/>
        <v>opoczyński</v>
      </c>
      <c r="E105" t="str">
        <f t="shared" si="14"/>
        <v>łódzkie</v>
      </c>
      <c r="F105">
        <v>6</v>
      </c>
      <c r="G105" t="str">
        <f>"Szkoła Podstawowa w Woli Załężnej, Wola Załężna 75, 26-300 Opoczno"</f>
        <v>Szkoła Podstawowa w Woli Załężnej, Wola Załężna 75, 26-300 Opoczno</v>
      </c>
      <c r="H105">
        <v>801</v>
      </c>
      <c r="I105">
        <v>801</v>
      </c>
      <c r="J105">
        <v>0</v>
      </c>
      <c r="K105">
        <v>560</v>
      </c>
      <c r="L105">
        <v>385</v>
      </c>
      <c r="M105">
        <v>175</v>
      </c>
      <c r="N105">
        <v>175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175</v>
      </c>
      <c r="Z105">
        <v>0</v>
      </c>
      <c r="AA105">
        <v>0</v>
      </c>
      <c r="AB105">
        <v>175</v>
      </c>
      <c r="AC105">
        <v>6</v>
      </c>
      <c r="AD105">
        <v>169</v>
      </c>
      <c r="AE105">
        <v>2</v>
      </c>
      <c r="AF105">
        <v>1</v>
      </c>
      <c r="AG105">
        <v>1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2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2</v>
      </c>
      <c r="BD105">
        <v>2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2</v>
      </c>
      <c r="BO105">
        <v>93</v>
      </c>
      <c r="BP105">
        <v>49</v>
      </c>
      <c r="BQ105">
        <v>0</v>
      </c>
      <c r="BR105">
        <v>0</v>
      </c>
      <c r="BS105">
        <v>2</v>
      </c>
      <c r="BT105">
        <v>2</v>
      </c>
      <c r="BU105">
        <v>40</v>
      </c>
      <c r="BV105">
        <v>0</v>
      </c>
      <c r="BW105">
        <v>0</v>
      </c>
      <c r="BX105">
        <v>0</v>
      </c>
      <c r="BY105">
        <v>0</v>
      </c>
      <c r="BZ105">
        <v>93</v>
      </c>
      <c r="CA105">
        <v>4</v>
      </c>
      <c r="CB105">
        <v>1</v>
      </c>
      <c r="CC105">
        <v>0</v>
      </c>
      <c r="CD105">
        <v>0</v>
      </c>
      <c r="CE105">
        <v>0</v>
      </c>
      <c r="CF105">
        <v>0</v>
      </c>
      <c r="CG105">
        <v>2</v>
      </c>
      <c r="CH105">
        <v>0</v>
      </c>
      <c r="CI105">
        <v>0</v>
      </c>
      <c r="CJ105">
        <v>0</v>
      </c>
      <c r="CK105">
        <v>1</v>
      </c>
      <c r="CL105">
        <v>4</v>
      </c>
      <c r="CM105">
        <v>2</v>
      </c>
      <c r="CN105">
        <v>2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2</v>
      </c>
      <c r="CY105">
        <v>10</v>
      </c>
      <c r="CZ105">
        <v>6</v>
      </c>
      <c r="DA105">
        <v>0</v>
      </c>
      <c r="DB105">
        <v>0</v>
      </c>
      <c r="DC105">
        <v>0</v>
      </c>
      <c r="DD105">
        <v>1</v>
      </c>
      <c r="DE105">
        <v>0</v>
      </c>
      <c r="DF105">
        <v>2</v>
      </c>
      <c r="DG105">
        <v>1</v>
      </c>
      <c r="DH105">
        <v>0</v>
      </c>
      <c r="DI105">
        <v>0</v>
      </c>
      <c r="DJ105">
        <v>10</v>
      </c>
      <c r="DK105">
        <v>20</v>
      </c>
      <c r="DL105">
        <v>13</v>
      </c>
      <c r="DM105">
        <v>4</v>
      </c>
      <c r="DN105">
        <v>0</v>
      </c>
      <c r="DO105">
        <v>0</v>
      </c>
      <c r="DP105">
        <v>0</v>
      </c>
      <c r="DQ105">
        <v>1</v>
      </c>
      <c r="DR105">
        <v>0</v>
      </c>
      <c r="DS105">
        <v>1</v>
      </c>
      <c r="DT105">
        <v>0</v>
      </c>
      <c r="DU105">
        <v>1</v>
      </c>
      <c r="DV105">
        <v>20</v>
      </c>
      <c r="DW105">
        <v>33</v>
      </c>
      <c r="DX105">
        <v>0</v>
      </c>
      <c r="DY105">
        <v>2</v>
      </c>
      <c r="DZ105">
        <v>0</v>
      </c>
      <c r="EA105">
        <v>0</v>
      </c>
      <c r="EB105">
        <v>4</v>
      </c>
      <c r="EC105">
        <v>1</v>
      </c>
      <c r="ED105">
        <v>1</v>
      </c>
      <c r="EE105">
        <v>0</v>
      </c>
      <c r="EF105">
        <v>6</v>
      </c>
      <c r="EG105">
        <v>19</v>
      </c>
      <c r="EH105">
        <v>33</v>
      </c>
      <c r="EI105">
        <v>1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1</v>
      </c>
      <c r="ER105">
        <v>1</v>
      </c>
      <c r="ES105">
        <v>1</v>
      </c>
      <c r="ET105">
        <v>1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1</v>
      </c>
      <c r="FE105">
        <v>1</v>
      </c>
      <c r="FF105">
        <v>1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1</v>
      </c>
    </row>
    <row r="106" spans="1:172" ht="14.25">
      <c r="A106">
        <v>101</v>
      </c>
      <c r="B106" t="str">
        <f t="shared" si="18"/>
        <v>100704</v>
      </c>
      <c r="C106" t="str">
        <f t="shared" si="19"/>
        <v>Opoczno</v>
      </c>
      <c r="D106" t="str">
        <f t="shared" si="15"/>
        <v>opoczyński</v>
      </c>
      <c r="E106" t="str">
        <f t="shared" si="14"/>
        <v>łódzkie</v>
      </c>
      <c r="F106">
        <v>7</v>
      </c>
      <c r="G106" t="str">
        <f>"Szkoła Podstawowa w Dzielnej, Dzielna 64a, 26-300 Opoczno"</f>
        <v>Szkoła Podstawowa w Dzielnej, Dzielna 64a, 26-300 Opoczno</v>
      </c>
      <c r="H106">
        <v>781</v>
      </c>
      <c r="I106">
        <v>781</v>
      </c>
      <c r="J106">
        <v>0</v>
      </c>
      <c r="K106">
        <v>549</v>
      </c>
      <c r="L106">
        <v>352</v>
      </c>
      <c r="M106">
        <v>197</v>
      </c>
      <c r="N106">
        <v>197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197</v>
      </c>
      <c r="Z106">
        <v>0</v>
      </c>
      <c r="AA106">
        <v>0</v>
      </c>
      <c r="AB106">
        <v>197</v>
      </c>
      <c r="AC106">
        <v>4</v>
      </c>
      <c r="AD106">
        <v>193</v>
      </c>
      <c r="AE106">
        <v>2</v>
      </c>
      <c r="AF106">
        <v>0</v>
      </c>
      <c r="AG106">
        <v>0</v>
      </c>
      <c r="AH106">
        <v>0</v>
      </c>
      <c r="AI106">
        <v>0</v>
      </c>
      <c r="AJ106">
        <v>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2</v>
      </c>
      <c r="AQ106">
        <v>3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2</v>
      </c>
      <c r="AY106">
        <v>0</v>
      </c>
      <c r="AZ106">
        <v>0</v>
      </c>
      <c r="BA106">
        <v>0</v>
      </c>
      <c r="BB106">
        <v>3</v>
      </c>
      <c r="BC106">
        <v>1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1</v>
      </c>
      <c r="BJ106">
        <v>0</v>
      </c>
      <c r="BK106">
        <v>0</v>
      </c>
      <c r="BL106">
        <v>0</v>
      </c>
      <c r="BM106">
        <v>0</v>
      </c>
      <c r="BN106">
        <v>1</v>
      </c>
      <c r="BO106">
        <v>147</v>
      </c>
      <c r="BP106">
        <v>64</v>
      </c>
      <c r="BQ106">
        <v>5</v>
      </c>
      <c r="BR106">
        <v>4</v>
      </c>
      <c r="BS106">
        <v>0</v>
      </c>
      <c r="BT106">
        <v>1</v>
      </c>
      <c r="BU106">
        <v>72</v>
      </c>
      <c r="BV106">
        <v>0</v>
      </c>
      <c r="BW106">
        <v>0</v>
      </c>
      <c r="BX106">
        <v>0</v>
      </c>
      <c r="BY106">
        <v>1</v>
      </c>
      <c r="BZ106">
        <v>147</v>
      </c>
      <c r="CA106">
        <v>1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1</v>
      </c>
      <c r="CH106">
        <v>0</v>
      </c>
      <c r="CI106">
        <v>0</v>
      </c>
      <c r="CJ106">
        <v>0</v>
      </c>
      <c r="CK106">
        <v>0</v>
      </c>
      <c r="CL106">
        <v>1</v>
      </c>
      <c r="CM106">
        <v>2</v>
      </c>
      <c r="CN106">
        <v>2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2</v>
      </c>
      <c r="CY106">
        <v>11</v>
      </c>
      <c r="CZ106">
        <v>9</v>
      </c>
      <c r="DA106">
        <v>0</v>
      </c>
      <c r="DB106">
        <v>0</v>
      </c>
      <c r="DC106">
        <v>1</v>
      </c>
      <c r="DD106">
        <v>1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11</v>
      </c>
      <c r="DK106">
        <v>6</v>
      </c>
      <c r="DL106">
        <v>5</v>
      </c>
      <c r="DM106">
        <v>1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6</v>
      </c>
      <c r="DW106">
        <v>19</v>
      </c>
      <c r="DX106">
        <v>0</v>
      </c>
      <c r="DY106">
        <v>5</v>
      </c>
      <c r="DZ106">
        <v>0</v>
      </c>
      <c r="EA106">
        <v>0</v>
      </c>
      <c r="EB106">
        <v>0</v>
      </c>
      <c r="EC106">
        <v>1</v>
      </c>
      <c r="ED106">
        <v>0</v>
      </c>
      <c r="EE106">
        <v>0</v>
      </c>
      <c r="EF106">
        <v>0</v>
      </c>
      <c r="EG106">
        <v>13</v>
      </c>
      <c r="EH106">
        <v>19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1</v>
      </c>
      <c r="ET106">
        <v>0</v>
      </c>
      <c r="EU106">
        <v>0</v>
      </c>
      <c r="EV106">
        <v>0</v>
      </c>
      <c r="EW106">
        <v>0</v>
      </c>
      <c r="EX106">
        <v>1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1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</row>
    <row r="107" spans="1:172" ht="14.25">
      <c r="A107">
        <v>102</v>
      </c>
      <c r="B107" t="str">
        <f t="shared" si="18"/>
        <v>100704</v>
      </c>
      <c r="C107" t="str">
        <f t="shared" si="19"/>
        <v>Opoczno</v>
      </c>
      <c r="D107" t="str">
        <f t="shared" si="15"/>
        <v>opoczyński</v>
      </c>
      <c r="E107" t="str">
        <f t="shared" si="14"/>
        <v>łódzkie</v>
      </c>
      <c r="F107">
        <v>8</v>
      </c>
      <c r="G107" t="str">
        <f>"Gimnazjum w Wygnanowie, Wygnanów 57, 26-300 Opoczno"</f>
        <v>Gimnazjum w Wygnanowie, Wygnanów 57, 26-300 Opoczno</v>
      </c>
      <c r="H107">
        <v>452</v>
      </c>
      <c r="I107">
        <v>452</v>
      </c>
      <c r="J107">
        <v>0</v>
      </c>
      <c r="K107">
        <v>320</v>
      </c>
      <c r="L107">
        <v>218</v>
      </c>
      <c r="M107">
        <v>102</v>
      </c>
      <c r="N107">
        <v>102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102</v>
      </c>
      <c r="Z107">
        <v>0</v>
      </c>
      <c r="AA107">
        <v>0</v>
      </c>
      <c r="AB107">
        <v>102</v>
      </c>
      <c r="AC107">
        <v>6</v>
      </c>
      <c r="AD107">
        <v>96</v>
      </c>
      <c r="AE107">
        <v>8</v>
      </c>
      <c r="AF107">
        <v>0</v>
      </c>
      <c r="AG107">
        <v>1</v>
      </c>
      <c r="AH107">
        <v>0</v>
      </c>
      <c r="AI107">
        <v>0</v>
      </c>
      <c r="AJ107">
        <v>6</v>
      </c>
      <c r="AK107">
        <v>0</v>
      </c>
      <c r="AL107">
        <v>0</v>
      </c>
      <c r="AM107">
        <v>0</v>
      </c>
      <c r="AN107">
        <v>1</v>
      </c>
      <c r="AO107">
        <v>0</v>
      </c>
      <c r="AP107">
        <v>8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2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2</v>
      </c>
      <c r="BN107">
        <v>2</v>
      </c>
      <c r="BO107">
        <v>62</v>
      </c>
      <c r="BP107">
        <v>31</v>
      </c>
      <c r="BQ107">
        <v>3</v>
      </c>
      <c r="BR107">
        <v>0</v>
      </c>
      <c r="BS107">
        <v>0</v>
      </c>
      <c r="BT107">
        <v>0</v>
      </c>
      <c r="BU107">
        <v>28</v>
      </c>
      <c r="BV107">
        <v>0</v>
      </c>
      <c r="BW107">
        <v>0</v>
      </c>
      <c r="BX107">
        <v>0</v>
      </c>
      <c r="BY107">
        <v>0</v>
      </c>
      <c r="BZ107">
        <v>62</v>
      </c>
      <c r="CA107">
        <v>1</v>
      </c>
      <c r="CB107">
        <v>0</v>
      </c>
      <c r="CC107">
        <v>1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1</v>
      </c>
      <c r="CM107">
        <v>1</v>
      </c>
      <c r="CN107">
        <v>0</v>
      </c>
      <c r="CO107">
        <v>0</v>
      </c>
      <c r="CP107">
        <v>0</v>
      </c>
      <c r="CQ107">
        <v>1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1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1</v>
      </c>
      <c r="DL107">
        <v>0</v>
      </c>
      <c r="DM107">
        <v>1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1</v>
      </c>
      <c r="DW107">
        <v>21</v>
      </c>
      <c r="DX107">
        <v>0</v>
      </c>
      <c r="DY107">
        <v>5</v>
      </c>
      <c r="DZ107">
        <v>0</v>
      </c>
      <c r="EA107">
        <v>1</v>
      </c>
      <c r="EB107">
        <v>5</v>
      </c>
      <c r="EC107">
        <v>0</v>
      </c>
      <c r="ED107">
        <v>0</v>
      </c>
      <c r="EE107">
        <v>0</v>
      </c>
      <c r="EF107">
        <v>0</v>
      </c>
      <c r="EG107">
        <v>10</v>
      </c>
      <c r="EH107">
        <v>21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</row>
    <row r="108" spans="1:172" ht="14.25">
      <c r="A108">
        <v>103</v>
      </c>
      <c r="B108" t="str">
        <f t="shared" si="18"/>
        <v>100704</v>
      </c>
      <c r="C108" t="str">
        <f t="shared" si="19"/>
        <v>Opoczno</v>
      </c>
      <c r="D108" t="str">
        <f t="shared" si="15"/>
        <v>opoczyński</v>
      </c>
      <c r="E108" t="str">
        <f t="shared" si="14"/>
        <v>łódzkie</v>
      </c>
      <c r="F108">
        <v>9</v>
      </c>
      <c r="G108" t="str">
        <f>"Szkoła Podstawowa w Bielowicach, Bielowice 56, 26-300 Opoczno"</f>
        <v>Szkoła Podstawowa w Bielowicach, Bielowice 56, 26-300 Opoczno</v>
      </c>
      <c r="H108">
        <v>801</v>
      </c>
      <c r="I108">
        <v>801</v>
      </c>
      <c r="J108">
        <v>0</v>
      </c>
      <c r="K108">
        <v>570</v>
      </c>
      <c r="L108">
        <v>363</v>
      </c>
      <c r="M108">
        <v>207</v>
      </c>
      <c r="N108">
        <v>207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207</v>
      </c>
      <c r="Z108">
        <v>0</v>
      </c>
      <c r="AA108">
        <v>0</v>
      </c>
      <c r="AB108">
        <v>207</v>
      </c>
      <c r="AC108">
        <v>9</v>
      </c>
      <c r="AD108">
        <v>198</v>
      </c>
      <c r="AE108">
        <v>8</v>
      </c>
      <c r="AF108">
        <v>1</v>
      </c>
      <c r="AG108">
        <v>1</v>
      </c>
      <c r="AH108">
        <v>1</v>
      </c>
      <c r="AI108">
        <v>0</v>
      </c>
      <c r="AJ108">
        <v>5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8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4</v>
      </c>
      <c r="BD108">
        <v>1</v>
      </c>
      <c r="BE108">
        <v>0</v>
      </c>
      <c r="BF108">
        <v>1</v>
      </c>
      <c r="BG108">
        <v>0</v>
      </c>
      <c r="BH108">
        <v>0</v>
      </c>
      <c r="BI108">
        <v>2</v>
      </c>
      <c r="BJ108">
        <v>0</v>
      </c>
      <c r="BK108">
        <v>0</v>
      </c>
      <c r="BL108">
        <v>0</v>
      </c>
      <c r="BM108">
        <v>0</v>
      </c>
      <c r="BN108">
        <v>4</v>
      </c>
      <c r="BO108">
        <v>157</v>
      </c>
      <c r="BP108">
        <v>55</v>
      </c>
      <c r="BQ108">
        <v>1</v>
      </c>
      <c r="BR108">
        <v>0</v>
      </c>
      <c r="BS108">
        <v>2</v>
      </c>
      <c r="BT108">
        <v>0</v>
      </c>
      <c r="BU108">
        <v>98</v>
      </c>
      <c r="BV108">
        <v>0</v>
      </c>
      <c r="BW108">
        <v>0</v>
      </c>
      <c r="BX108">
        <v>0</v>
      </c>
      <c r="BY108">
        <v>1</v>
      </c>
      <c r="BZ108">
        <v>157</v>
      </c>
      <c r="CA108">
        <v>1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1</v>
      </c>
      <c r="CH108">
        <v>0</v>
      </c>
      <c r="CI108">
        <v>0</v>
      </c>
      <c r="CJ108">
        <v>0</v>
      </c>
      <c r="CK108">
        <v>0</v>
      </c>
      <c r="CL108">
        <v>1</v>
      </c>
      <c r="CM108">
        <v>2</v>
      </c>
      <c r="CN108">
        <v>1</v>
      </c>
      <c r="CO108">
        <v>1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2</v>
      </c>
      <c r="CY108">
        <v>3</v>
      </c>
      <c r="CZ108">
        <v>2</v>
      </c>
      <c r="DA108">
        <v>1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3</v>
      </c>
      <c r="DK108">
        <v>1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1</v>
      </c>
      <c r="DT108">
        <v>0</v>
      </c>
      <c r="DU108">
        <v>0</v>
      </c>
      <c r="DV108">
        <v>1</v>
      </c>
      <c r="DW108">
        <v>21</v>
      </c>
      <c r="DX108">
        <v>0</v>
      </c>
      <c r="DY108">
        <v>1</v>
      </c>
      <c r="DZ108">
        <v>0</v>
      </c>
      <c r="EA108">
        <v>0</v>
      </c>
      <c r="EB108">
        <v>3</v>
      </c>
      <c r="EC108">
        <v>0</v>
      </c>
      <c r="ED108">
        <v>0</v>
      </c>
      <c r="EE108">
        <v>0</v>
      </c>
      <c r="EF108">
        <v>0</v>
      </c>
      <c r="EG108">
        <v>17</v>
      </c>
      <c r="EH108">
        <v>21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1</v>
      </c>
      <c r="FF108">
        <v>0</v>
      </c>
      <c r="FG108">
        <v>0</v>
      </c>
      <c r="FH108">
        <v>0</v>
      </c>
      <c r="FI108">
        <v>1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1</v>
      </c>
    </row>
    <row r="109" spans="1:172" ht="14.25">
      <c r="A109">
        <v>104</v>
      </c>
      <c r="B109" t="str">
        <f t="shared" si="18"/>
        <v>100704</v>
      </c>
      <c r="C109" t="str">
        <f t="shared" si="19"/>
        <v>Opoczno</v>
      </c>
      <c r="D109" t="str">
        <f t="shared" si="15"/>
        <v>opoczyński</v>
      </c>
      <c r="E109" t="str">
        <f t="shared" si="14"/>
        <v>łódzkie</v>
      </c>
      <c r="F109">
        <v>10</v>
      </c>
      <c r="G109" t="str">
        <f>"Zespół Szkół w Mroczkowie Gościnnym, Mroczków Gościnny 50, 26-300 Opoczno"</f>
        <v>Zespół Szkół w Mroczkowie Gościnnym, Mroczków Gościnny 50, 26-300 Opoczno</v>
      </c>
      <c r="H109">
        <v>1041</v>
      </c>
      <c r="I109">
        <v>1041</v>
      </c>
      <c r="J109">
        <v>0</v>
      </c>
      <c r="K109">
        <v>730</v>
      </c>
      <c r="L109">
        <v>474</v>
      </c>
      <c r="M109">
        <v>256</v>
      </c>
      <c r="N109">
        <v>256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256</v>
      </c>
      <c r="Z109">
        <v>0</v>
      </c>
      <c r="AA109">
        <v>0</v>
      </c>
      <c r="AB109">
        <v>256</v>
      </c>
      <c r="AC109">
        <v>12</v>
      </c>
      <c r="AD109">
        <v>244</v>
      </c>
      <c r="AE109">
        <v>16</v>
      </c>
      <c r="AF109">
        <v>6</v>
      </c>
      <c r="AG109">
        <v>1</v>
      </c>
      <c r="AH109">
        <v>0</v>
      </c>
      <c r="AI109">
        <v>0</v>
      </c>
      <c r="AJ109">
        <v>6</v>
      </c>
      <c r="AK109">
        <v>1</v>
      </c>
      <c r="AL109">
        <v>0</v>
      </c>
      <c r="AM109">
        <v>0</v>
      </c>
      <c r="AN109">
        <v>0</v>
      </c>
      <c r="AO109">
        <v>2</v>
      </c>
      <c r="AP109">
        <v>16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11</v>
      </c>
      <c r="BD109">
        <v>3</v>
      </c>
      <c r="BE109">
        <v>0</v>
      </c>
      <c r="BF109">
        <v>2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6</v>
      </c>
      <c r="BN109">
        <v>11</v>
      </c>
      <c r="BO109">
        <v>153</v>
      </c>
      <c r="BP109">
        <v>57</v>
      </c>
      <c r="BQ109">
        <v>6</v>
      </c>
      <c r="BR109">
        <v>0</v>
      </c>
      <c r="BS109">
        <v>0</v>
      </c>
      <c r="BT109">
        <v>0</v>
      </c>
      <c r="BU109">
        <v>89</v>
      </c>
      <c r="BV109">
        <v>0</v>
      </c>
      <c r="BW109">
        <v>0</v>
      </c>
      <c r="BX109">
        <v>1</v>
      </c>
      <c r="BY109">
        <v>0</v>
      </c>
      <c r="BZ109">
        <v>153</v>
      </c>
      <c r="CA109">
        <v>2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2</v>
      </c>
      <c r="CH109">
        <v>0</v>
      </c>
      <c r="CI109">
        <v>0</v>
      </c>
      <c r="CJ109">
        <v>0</v>
      </c>
      <c r="CK109">
        <v>0</v>
      </c>
      <c r="CL109">
        <v>2</v>
      </c>
      <c r="CM109">
        <v>3</v>
      </c>
      <c r="CN109">
        <v>1</v>
      </c>
      <c r="CO109">
        <v>1</v>
      </c>
      <c r="CP109">
        <v>0</v>
      </c>
      <c r="CQ109">
        <v>0</v>
      </c>
      <c r="CR109">
        <v>0</v>
      </c>
      <c r="CS109">
        <v>0</v>
      </c>
      <c r="CT109">
        <v>1</v>
      </c>
      <c r="CU109">
        <v>0</v>
      </c>
      <c r="CV109">
        <v>0</v>
      </c>
      <c r="CW109">
        <v>0</v>
      </c>
      <c r="CX109">
        <v>3</v>
      </c>
      <c r="CY109">
        <v>6</v>
      </c>
      <c r="CZ109">
        <v>5</v>
      </c>
      <c r="DA109">
        <v>1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6</v>
      </c>
      <c r="DK109">
        <v>13</v>
      </c>
      <c r="DL109">
        <v>8</v>
      </c>
      <c r="DM109">
        <v>4</v>
      </c>
      <c r="DN109">
        <v>1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13</v>
      </c>
      <c r="DW109">
        <v>38</v>
      </c>
      <c r="DX109">
        <v>0</v>
      </c>
      <c r="DY109">
        <v>1</v>
      </c>
      <c r="DZ109">
        <v>0</v>
      </c>
      <c r="EA109">
        <v>0</v>
      </c>
      <c r="EB109">
        <v>8</v>
      </c>
      <c r="EC109">
        <v>0</v>
      </c>
      <c r="ED109">
        <v>0</v>
      </c>
      <c r="EE109">
        <v>0</v>
      </c>
      <c r="EF109">
        <v>0</v>
      </c>
      <c r="EG109">
        <v>29</v>
      </c>
      <c r="EH109">
        <v>38</v>
      </c>
      <c r="EI109">
        <v>1</v>
      </c>
      <c r="EJ109">
        <v>0</v>
      </c>
      <c r="EK109">
        <v>1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1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1</v>
      </c>
      <c r="FF109">
        <v>1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0</v>
      </c>
      <c r="FO109">
        <v>0</v>
      </c>
      <c r="FP109">
        <v>1</v>
      </c>
    </row>
    <row r="110" spans="1:172" ht="14.25">
      <c r="A110">
        <v>105</v>
      </c>
      <c r="B110" t="str">
        <f t="shared" si="18"/>
        <v>100704</v>
      </c>
      <c r="C110" t="str">
        <f t="shared" si="19"/>
        <v>Opoczno</v>
      </c>
      <c r="D110" t="str">
        <f aca="true" t="shared" si="20" ref="D110:D141">"opoczyński"</f>
        <v>opoczyński</v>
      </c>
      <c r="E110" t="str">
        <f t="shared" si="14"/>
        <v>łódzkie</v>
      </c>
      <c r="F110">
        <v>11</v>
      </c>
      <c r="G110" t="str">
        <f>"Zespół Szkół w Ogonowicach, Ogonowice 207A, 26-300 Opoczno"</f>
        <v>Zespół Szkół w Ogonowicach, Ogonowice 207A, 26-300 Opoczno</v>
      </c>
      <c r="H110">
        <v>1547</v>
      </c>
      <c r="I110">
        <v>1547</v>
      </c>
      <c r="J110">
        <v>0</v>
      </c>
      <c r="K110">
        <v>1085</v>
      </c>
      <c r="L110">
        <v>591</v>
      </c>
      <c r="M110">
        <v>494</v>
      </c>
      <c r="N110">
        <v>494</v>
      </c>
      <c r="O110">
        <v>0</v>
      </c>
      <c r="P110">
        <v>0</v>
      </c>
      <c r="Q110">
        <v>2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494</v>
      </c>
      <c r="Z110">
        <v>0</v>
      </c>
      <c r="AA110">
        <v>0</v>
      </c>
      <c r="AB110">
        <v>494</v>
      </c>
      <c r="AC110">
        <v>12</v>
      </c>
      <c r="AD110">
        <v>482</v>
      </c>
      <c r="AE110">
        <v>21</v>
      </c>
      <c r="AF110">
        <v>8</v>
      </c>
      <c r="AG110">
        <v>2</v>
      </c>
      <c r="AH110">
        <v>2</v>
      </c>
      <c r="AI110">
        <v>1</v>
      </c>
      <c r="AJ110">
        <v>7</v>
      </c>
      <c r="AK110">
        <v>0</v>
      </c>
      <c r="AL110">
        <v>0</v>
      </c>
      <c r="AM110">
        <v>0</v>
      </c>
      <c r="AN110">
        <v>0</v>
      </c>
      <c r="AO110">
        <v>1</v>
      </c>
      <c r="AP110">
        <v>21</v>
      </c>
      <c r="AQ110">
        <v>7</v>
      </c>
      <c r="AR110">
        <v>3</v>
      </c>
      <c r="AS110">
        <v>0</v>
      </c>
      <c r="AT110">
        <v>1</v>
      </c>
      <c r="AU110">
        <v>0</v>
      </c>
      <c r="AV110">
        <v>2</v>
      </c>
      <c r="AW110">
        <v>0</v>
      </c>
      <c r="AX110">
        <v>0</v>
      </c>
      <c r="AY110">
        <v>0</v>
      </c>
      <c r="AZ110">
        <v>0</v>
      </c>
      <c r="BA110">
        <v>1</v>
      </c>
      <c r="BB110">
        <v>7</v>
      </c>
      <c r="BC110">
        <v>15</v>
      </c>
      <c r="BD110">
        <v>4</v>
      </c>
      <c r="BE110">
        <v>2</v>
      </c>
      <c r="BF110">
        <v>0</v>
      </c>
      <c r="BG110">
        <v>1</v>
      </c>
      <c r="BH110">
        <v>2</v>
      </c>
      <c r="BI110">
        <v>1</v>
      </c>
      <c r="BJ110">
        <v>2</v>
      </c>
      <c r="BK110">
        <v>0</v>
      </c>
      <c r="BL110">
        <v>0</v>
      </c>
      <c r="BM110">
        <v>3</v>
      </c>
      <c r="BN110">
        <v>15</v>
      </c>
      <c r="BO110">
        <v>323</v>
      </c>
      <c r="BP110">
        <v>162</v>
      </c>
      <c r="BQ110">
        <v>4</v>
      </c>
      <c r="BR110">
        <v>0</v>
      </c>
      <c r="BS110">
        <v>2</v>
      </c>
      <c r="BT110">
        <v>0</v>
      </c>
      <c r="BU110">
        <v>150</v>
      </c>
      <c r="BV110">
        <v>0</v>
      </c>
      <c r="BW110">
        <v>1</v>
      </c>
      <c r="BX110">
        <v>2</v>
      </c>
      <c r="BY110">
        <v>2</v>
      </c>
      <c r="BZ110">
        <v>323</v>
      </c>
      <c r="CA110">
        <v>8</v>
      </c>
      <c r="CB110">
        <v>4</v>
      </c>
      <c r="CC110">
        <v>0</v>
      </c>
      <c r="CD110">
        <v>1</v>
      </c>
      <c r="CE110">
        <v>0</v>
      </c>
      <c r="CF110">
        <v>0</v>
      </c>
      <c r="CG110">
        <v>1</v>
      </c>
      <c r="CH110">
        <v>2</v>
      </c>
      <c r="CI110">
        <v>0</v>
      </c>
      <c r="CJ110">
        <v>0</v>
      </c>
      <c r="CK110">
        <v>0</v>
      </c>
      <c r="CL110">
        <v>8</v>
      </c>
      <c r="CM110">
        <v>4</v>
      </c>
      <c r="CN110">
        <v>4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4</v>
      </c>
      <c r="CY110">
        <v>24</v>
      </c>
      <c r="CZ110">
        <v>17</v>
      </c>
      <c r="DA110">
        <v>1</v>
      </c>
      <c r="DB110">
        <v>2</v>
      </c>
      <c r="DC110">
        <v>1</v>
      </c>
      <c r="DD110">
        <v>1</v>
      </c>
      <c r="DE110">
        <v>0</v>
      </c>
      <c r="DF110">
        <v>0</v>
      </c>
      <c r="DG110">
        <v>2</v>
      </c>
      <c r="DH110">
        <v>0</v>
      </c>
      <c r="DI110">
        <v>0</v>
      </c>
      <c r="DJ110">
        <v>24</v>
      </c>
      <c r="DK110">
        <v>33</v>
      </c>
      <c r="DL110">
        <v>20</v>
      </c>
      <c r="DM110">
        <v>8</v>
      </c>
      <c r="DN110">
        <v>0</v>
      </c>
      <c r="DO110">
        <v>2</v>
      </c>
      <c r="DP110">
        <v>0</v>
      </c>
      <c r="DQ110">
        <v>0</v>
      </c>
      <c r="DR110">
        <v>1</v>
      </c>
      <c r="DS110">
        <v>0</v>
      </c>
      <c r="DT110">
        <v>1</v>
      </c>
      <c r="DU110">
        <v>1</v>
      </c>
      <c r="DV110">
        <v>33</v>
      </c>
      <c r="DW110">
        <v>45</v>
      </c>
      <c r="DX110">
        <v>0</v>
      </c>
      <c r="DY110">
        <v>2</v>
      </c>
      <c r="DZ110">
        <v>0</v>
      </c>
      <c r="EA110">
        <v>0</v>
      </c>
      <c r="EB110">
        <v>11</v>
      </c>
      <c r="EC110">
        <v>2</v>
      </c>
      <c r="ED110">
        <v>1</v>
      </c>
      <c r="EE110">
        <v>1</v>
      </c>
      <c r="EF110">
        <v>0</v>
      </c>
      <c r="EG110">
        <v>28</v>
      </c>
      <c r="EH110">
        <v>45</v>
      </c>
      <c r="EI110">
        <v>2</v>
      </c>
      <c r="EJ110">
        <v>0</v>
      </c>
      <c r="EK110">
        <v>1</v>
      </c>
      <c r="EL110">
        <v>0</v>
      </c>
      <c r="EM110">
        <v>1</v>
      </c>
      <c r="EN110">
        <v>0</v>
      </c>
      <c r="EO110">
        <v>0</v>
      </c>
      <c r="EP110">
        <v>0</v>
      </c>
      <c r="EQ110">
        <v>0</v>
      </c>
      <c r="ER110">
        <v>2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</row>
    <row r="111" spans="1:172" ht="14.25">
      <c r="A111">
        <v>106</v>
      </c>
      <c r="B111" t="str">
        <f t="shared" si="18"/>
        <v>100704</v>
      </c>
      <c r="C111" t="str">
        <f t="shared" si="19"/>
        <v>Opoczno</v>
      </c>
      <c r="D111" t="str">
        <f t="shared" si="20"/>
        <v>opoczyński</v>
      </c>
      <c r="E111" t="str">
        <f t="shared" si="14"/>
        <v>łódzkie</v>
      </c>
      <c r="F111">
        <v>12</v>
      </c>
      <c r="G111" t="str">
        <f>"Szkoła Podstawowa w Sielcu, Sielec 40, 26-300 Opoczno"</f>
        <v>Szkoła Podstawowa w Sielcu, Sielec 40, 26-300 Opoczno</v>
      </c>
      <c r="H111">
        <v>914</v>
      </c>
      <c r="I111">
        <v>914</v>
      </c>
      <c r="J111">
        <v>0</v>
      </c>
      <c r="K111">
        <v>640</v>
      </c>
      <c r="L111">
        <v>499</v>
      </c>
      <c r="M111">
        <v>141</v>
      </c>
      <c r="N111">
        <v>141</v>
      </c>
      <c r="O111">
        <v>0</v>
      </c>
      <c r="P111">
        <v>0</v>
      </c>
      <c r="Q111">
        <v>1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141</v>
      </c>
      <c r="Z111">
        <v>0</v>
      </c>
      <c r="AA111">
        <v>0</v>
      </c>
      <c r="AB111">
        <v>141</v>
      </c>
      <c r="AC111">
        <v>3</v>
      </c>
      <c r="AD111">
        <v>138</v>
      </c>
      <c r="AE111">
        <v>7</v>
      </c>
      <c r="AF111">
        <v>1</v>
      </c>
      <c r="AG111">
        <v>0</v>
      </c>
      <c r="AH111">
        <v>0</v>
      </c>
      <c r="AI111">
        <v>0</v>
      </c>
      <c r="AJ111">
        <v>6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7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95</v>
      </c>
      <c r="BP111">
        <v>44</v>
      </c>
      <c r="BQ111">
        <v>1</v>
      </c>
      <c r="BR111">
        <v>0</v>
      </c>
      <c r="BS111">
        <v>0</v>
      </c>
      <c r="BT111">
        <v>0</v>
      </c>
      <c r="BU111">
        <v>50</v>
      </c>
      <c r="BV111">
        <v>0</v>
      </c>
      <c r="BW111">
        <v>0</v>
      </c>
      <c r="BX111">
        <v>0</v>
      </c>
      <c r="BY111">
        <v>0</v>
      </c>
      <c r="BZ111">
        <v>95</v>
      </c>
      <c r="CA111">
        <v>3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3</v>
      </c>
      <c r="CH111">
        <v>0</v>
      </c>
      <c r="CI111">
        <v>0</v>
      </c>
      <c r="CJ111">
        <v>0</v>
      </c>
      <c r="CK111">
        <v>0</v>
      </c>
      <c r="CL111">
        <v>3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3</v>
      </c>
      <c r="CZ111">
        <v>2</v>
      </c>
      <c r="DA111">
        <v>0</v>
      </c>
      <c r="DB111">
        <v>0</v>
      </c>
      <c r="DC111">
        <v>0</v>
      </c>
      <c r="DD111">
        <v>0</v>
      </c>
      <c r="DE111">
        <v>1</v>
      </c>
      <c r="DF111">
        <v>0</v>
      </c>
      <c r="DG111">
        <v>0</v>
      </c>
      <c r="DH111">
        <v>0</v>
      </c>
      <c r="DI111">
        <v>0</v>
      </c>
      <c r="DJ111">
        <v>3</v>
      </c>
      <c r="DK111">
        <v>10</v>
      </c>
      <c r="DL111">
        <v>10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10</v>
      </c>
      <c r="DW111">
        <v>20</v>
      </c>
      <c r="DX111">
        <v>1</v>
      </c>
      <c r="DY111">
        <v>0</v>
      </c>
      <c r="DZ111">
        <v>1</v>
      </c>
      <c r="EA111">
        <v>0</v>
      </c>
      <c r="EB111">
        <v>4</v>
      </c>
      <c r="EC111">
        <v>0</v>
      </c>
      <c r="ED111">
        <v>0</v>
      </c>
      <c r="EE111">
        <v>6</v>
      </c>
      <c r="EF111">
        <v>0</v>
      </c>
      <c r="EG111">
        <v>8</v>
      </c>
      <c r="EH111">
        <v>20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</row>
    <row r="112" spans="1:172" ht="14.25">
      <c r="A112">
        <v>107</v>
      </c>
      <c r="B112" t="str">
        <f t="shared" si="18"/>
        <v>100704</v>
      </c>
      <c r="C112" t="str">
        <f t="shared" si="19"/>
        <v>Opoczno</v>
      </c>
      <c r="D112" t="str">
        <f t="shared" si="20"/>
        <v>opoczyński</v>
      </c>
      <c r="E112" t="str">
        <f t="shared" si="14"/>
        <v>łódzkie</v>
      </c>
      <c r="F112">
        <v>13</v>
      </c>
      <c r="G112" t="str">
        <f>"Zespół Szkół Samorządowych Nr 3, ul. Armii Krajowej 1, 26-300 Opoczno"</f>
        <v>Zespół Szkół Samorządowych Nr 3, ul. Armii Krajowej 1, 26-300 Opoczno</v>
      </c>
      <c r="H112">
        <v>1312</v>
      </c>
      <c r="I112">
        <v>1312</v>
      </c>
      <c r="J112">
        <v>0</v>
      </c>
      <c r="K112">
        <v>917</v>
      </c>
      <c r="L112">
        <v>571</v>
      </c>
      <c r="M112">
        <v>346</v>
      </c>
      <c r="N112">
        <v>346</v>
      </c>
      <c r="O112">
        <v>0</v>
      </c>
      <c r="P112">
        <v>0</v>
      </c>
      <c r="Q112">
        <v>3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346</v>
      </c>
      <c r="Z112">
        <v>0</v>
      </c>
      <c r="AA112">
        <v>0</v>
      </c>
      <c r="AB112">
        <v>346</v>
      </c>
      <c r="AC112">
        <v>8</v>
      </c>
      <c r="AD112">
        <v>338</v>
      </c>
      <c r="AE112">
        <v>35</v>
      </c>
      <c r="AF112">
        <v>0</v>
      </c>
      <c r="AG112">
        <v>1</v>
      </c>
      <c r="AH112">
        <v>0</v>
      </c>
      <c r="AI112">
        <v>0</v>
      </c>
      <c r="AJ112">
        <v>33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35</v>
      </c>
      <c r="AQ112">
        <v>5</v>
      </c>
      <c r="AR112">
        <v>2</v>
      </c>
      <c r="AS112">
        <v>1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1</v>
      </c>
      <c r="AZ112">
        <v>0</v>
      </c>
      <c r="BA112">
        <v>1</v>
      </c>
      <c r="BB112">
        <v>5</v>
      </c>
      <c r="BC112">
        <v>17</v>
      </c>
      <c r="BD112">
        <v>11</v>
      </c>
      <c r="BE112">
        <v>5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1</v>
      </c>
      <c r="BN112">
        <v>17</v>
      </c>
      <c r="BO112">
        <v>147</v>
      </c>
      <c r="BP112">
        <v>85</v>
      </c>
      <c r="BQ112">
        <v>6</v>
      </c>
      <c r="BR112">
        <v>5</v>
      </c>
      <c r="BS112">
        <v>0</v>
      </c>
      <c r="BT112">
        <v>0</v>
      </c>
      <c r="BU112">
        <v>46</v>
      </c>
      <c r="BV112">
        <v>0</v>
      </c>
      <c r="BW112">
        <v>1</v>
      </c>
      <c r="BX112">
        <v>0</v>
      </c>
      <c r="BY112">
        <v>4</v>
      </c>
      <c r="BZ112">
        <v>147</v>
      </c>
      <c r="CA112">
        <v>7</v>
      </c>
      <c r="CB112">
        <v>2</v>
      </c>
      <c r="CC112">
        <v>1</v>
      </c>
      <c r="CD112">
        <v>1</v>
      </c>
      <c r="CE112">
        <v>0</v>
      </c>
      <c r="CF112">
        <v>0</v>
      </c>
      <c r="CG112">
        <v>3</v>
      </c>
      <c r="CH112">
        <v>0</v>
      </c>
      <c r="CI112">
        <v>0</v>
      </c>
      <c r="CJ112">
        <v>0</v>
      </c>
      <c r="CK112">
        <v>0</v>
      </c>
      <c r="CL112">
        <v>7</v>
      </c>
      <c r="CM112">
        <v>4</v>
      </c>
      <c r="CN112">
        <v>1</v>
      </c>
      <c r="CO112">
        <v>0</v>
      </c>
      <c r="CP112">
        <v>2</v>
      </c>
      <c r="CQ112">
        <v>1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4</v>
      </c>
      <c r="CY112">
        <v>20</v>
      </c>
      <c r="CZ112">
        <v>10</v>
      </c>
      <c r="DA112">
        <v>0</v>
      </c>
      <c r="DB112">
        <v>1</v>
      </c>
      <c r="DC112">
        <v>0</v>
      </c>
      <c r="DD112">
        <v>2</v>
      </c>
      <c r="DE112">
        <v>1</v>
      </c>
      <c r="DF112">
        <v>1</v>
      </c>
      <c r="DG112">
        <v>1</v>
      </c>
      <c r="DH112">
        <v>2</v>
      </c>
      <c r="DI112">
        <v>2</v>
      </c>
      <c r="DJ112">
        <v>20</v>
      </c>
      <c r="DK112">
        <v>52</v>
      </c>
      <c r="DL112">
        <v>30</v>
      </c>
      <c r="DM112">
        <v>18</v>
      </c>
      <c r="DN112">
        <v>0</v>
      </c>
      <c r="DO112">
        <v>0</v>
      </c>
      <c r="DP112">
        <v>2</v>
      </c>
      <c r="DQ112">
        <v>0</v>
      </c>
      <c r="DR112">
        <v>0</v>
      </c>
      <c r="DS112">
        <v>0</v>
      </c>
      <c r="DT112">
        <v>1</v>
      </c>
      <c r="DU112">
        <v>1</v>
      </c>
      <c r="DV112">
        <v>52</v>
      </c>
      <c r="DW112">
        <v>49</v>
      </c>
      <c r="DX112">
        <v>1</v>
      </c>
      <c r="DY112">
        <v>8</v>
      </c>
      <c r="DZ112">
        <v>0</v>
      </c>
      <c r="EA112">
        <v>0</v>
      </c>
      <c r="EB112">
        <v>8</v>
      </c>
      <c r="EC112">
        <v>1</v>
      </c>
      <c r="ED112">
        <v>0</v>
      </c>
      <c r="EE112">
        <v>1</v>
      </c>
      <c r="EF112">
        <v>0</v>
      </c>
      <c r="EG112">
        <v>30</v>
      </c>
      <c r="EH112">
        <v>49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2</v>
      </c>
      <c r="FF112">
        <v>1</v>
      </c>
      <c r="FG112">
        <v>1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2</v>
      </c>
    </row>
    <row r="113" spans="1:172" ht="14.25">
      <c r="A113">
        <v>108</v>
      </c>
      <c r="B113" t="str">
        <f t="shared" si="18"/>
        <v>100704</v>
      </c>
      <c r="C113" t="str">
        <f t="shared" si="19"/>
        <v>Opoczno</v>
      </c>
      <c r="D113" t="str">
        <f t="shared" si="20"/>
        <v>opoczyński</v>
      </c>
      <c r="E113" t="str">
        <f t="shared" si="14"/>
        <v>łódzkie</v>
      </c>
      <c r="F113">
        <v>14</v>
      </c>
      <c r="G113" t="str">
        <f>"Przedszkole Nr 2, ul. Szkolna 11, 26-300 Opoczno"</f>
        <v>Przedszkole Nr 2, ul. Szkolna 11, 26-300 Opoczno</v>
      </c>
      <c r="H113">
        <v>1387</v>
      </c>
      <c r="I113">
        <v>1387</v>
      </c>
      <c r="J113">
        <v>0</v>
      </c>
      <c r="K113">
        <v>981</v>
      </c>
      <c r="L113">
        <v>575</v>
      </c>
      <c r="M113">
        <v>406</v>
      </c>
      <c r="N113">
        <v>406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406</v>
      </c>
      <c r="Z113">
        <v>0</v>
      </c>
      <c r="AA113">
        <v>0</v>
      </c>
      <c r="AB113">
        <v>406</v>
      </c>
      <c r="AC113">
        <v>20</v>
      </c>
      <c r="AD113">
        <v>386</v>
      </c>
      <c r="AE113">
        <v>47</v>
      </c>
      <c r="AF113">
        <v>3</v>
      </c>
      <c r="AG113">
        <v>0</v>
      </c>
      <c r="AH113">
        <v>0</v>
      </c>
      <c r="AI113">
        <v>3</v>
      </c>
      <c r="AJ113">
        <v>40</v>
      </c>
      <c r="AK113">
        <v>0</v>
      </c>
      <c r="AL113">
        <v>1</v>
      </c>
      <c r="AM113">
        <v>0</v>
      </c>
      <c r="AN113">
        <v>0</v>
      </c>
      <c r="AO113">
        <v>0</v>
      </c>
      <c r="AP113">
        <v>47</v>
      </c>
      <c r="AQ113">
        <v>2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1</v>
      </c>
      <c r="BA113">
        <v>1</v>
      </c>
      <c r="BB113">
        <v>2</v>
      </c>
      <c r="BC113">
        <v>22</v>
      </c>
      <c r="BD113">
        <v>5</v>
      </c>
      <c r="BE113">
        <v>4</v>
      </c>
      <c r="BF113">
        <v>1</v>
      </c>
      <c r="BG113">
        <v>0</v>
      </c>
      <c r="BH113">
        <v>3</v>
      </c>
      <c r="BI113">
        <v>4</v>
      </c>
      <c r="BJ113">
        <v>0</v>
      </c>
      <c r="BK113">
        <v>0</v>
      </c>
      <c r="BL113">
        <v>0</v>
      </c>
      <c r="BM113">
        <v>5</v>
      </c>
      <c r="BN113">
        <v>22</v>
      </c>
      <c r="BO113">
        <v>219</v>
      </c>
      <c r="BP113">
        <v>128</v>
      </c>
      <c r="BQ113">
        <v>9</v>
      </c>
      <c r="BR113">
        <v>2</v>
      </c>
      <c r="BS113">
        <v>2</v>
      </c>
      <c r="BT113">
        <v>1</v>
      </c>
      <c r="BU113">
        <v>75</v>
      </c>
      <c r="BV113">
        <v>0</v>
      </c>
      <c r="BW113">
        <v>0</v>
      </c>
      <c r="BX113">
        <v>1</v>
      </c>
      <c r="BY113">
        <v>1</v>
      </c>
      <c r="BZ113">
        <v>219</v>
      </c>
      <c r="CA113">
        <v>4</v>
      </c>
      <c r="CB113">
        <v>2</v>
      </c>
      <c r="CC113">
        <v>0</v>
      </c>
      <c r="CD113">
        <v>1</v>
      </c>
      <c r="CE113">
        <v>0</v>
      </c>
      <c r="CF113">
        <v>0</v>
      </c>
      <c r="CG113">
        <v>1</v>
      </c>
      <c r="CH113">
        <v>0</v>
      </c>
      <c r="CI113">
        <v>0</v>
      </c>
      <c r="CJ113">
        <v>0</v>
      </c>
      <c r="CK113">
        <v>0</v>
      </c>
      <c r="CL113">
        <v>4</v>
      </c>
      <c r="CM113">
        <v>5</v>
      </c>
      <c r="CN113">
        <v>4</v>
      </c>
      <c r="CO113">
        <v>0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5</v>
      </c>
      <c r="CY113">
        <v>24</v>
      </c>
      <c r="CZ113">
        <v>14</v>
      </c>
      <c r="DA113">
        <v>3</v>
      </c>
      <c r="DB113">
        <v>1</v>
      </c>
      <c r="DC113">
        <v>1</v>
      </c>
      <c r="DD113">
        <v>0</v>
      </c>
      <c r="DE113">
        <v>0</v>
      </c>
      <c r="DF113">
        <v>3</v>
      </c>
      <c r="DG113">
        <v>0</v>
      </c>
      <c r="DH113">
        <v>1</v>
      </c>
      <c r="DI113">
        <v>1</v>
      </c>
      <c r="DJ113">
        <v>24</v>
      </c>
      <c r="DK113">
        <v>40</v>
      </c>
      <c r="DL113">
        <v>19</v>
      </c>
      <c r="DM113">
        <v>7</v>
      </c>
      <c r="DN113">
        <v>0</v>
      </c>
      <c r="DO113">
        <v>1</v>
      </c>
      <c r="DP113">
        <v>9</v>
      </c>
      <c r="DQ113">
        <v>1</v>
      </c>
      <c r="DR113">
        <v>0</v>
      </c>
      <c r="DS113">
        <v>1</v>
      </c>
      <c r="DT113">
        <v>2</v>
      </c>
      <c r="DU113">
        <v>0</v>
      </c>
      <c r="DV113">
        <v>40</v>
      </c>
      <c r="DW113">
        <v>19</v>
      </c>
      <c r="DX113">
        <v>1</v>
      </c>
      <c r="DY113">
        <v>0</v>
      </c>
      <c r="DZ113">
        <v>0</v>
      </c>
      <c r="EA113">
        <v>0</v>
      </c>
      <c r="EB113">
        <v>1</v>
      </c>
      <c r="EC113">
        <v>1</v>
      </c>
      <c r="ED113">
        <v>0</v>
      </c>
      <c r="EE113">
        <v>0</v>
      </c>
      <c r="EF113">
        <v>0</v>
      </c>
      <c r="EG113">
        <v>16</v>
      </c>
      <c r="EH113">
        <v>19</v>
      </c>
      <c r="EI113">
        <v>2</v>
      </c>
      <c r="EJ113">
        <v>0</v>
      </c>
      <c r="EK113">
        <v>2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2</v>
      </c>
      <c r="ES113">
        <v>1</v>
      </c>
      <c r="ET113">
        <v>0</v>
      </c>
      <c r="EU113">
        <v>1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1</v>
      </c>
      <c r="FE113">
        <v>1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1</v>
      </c>
      <c r="FL113">
        <v>0</v>
      </c>
      <c r="FM113">
        <v>0</v>
      </c>
      <c r="FN113">
        <v>0</v>
      </c>
      <c r="FO113">
        <v>0</v>
      </c>
      <c r="FP113">
        <v>1</v>
      </c>
    </row>
    <row r="114" spans="1:172" ht="14.25">
      <c r="A114">
        <v>109</v>
      </c>
      <c r="B114" t="str">
        <f t="shared" si="18"/>
        <v>100704</v>
      </c>
      <c r="C114" t="str">
        <f t="shared" si="19"/>
        <v>Opoczno</v>
      </c>
      <c r="D114" t="str">
        <f t="shared" si="20"/>
        <v>opoczyński</v>
      </c>
      <c r="E114" t="str">
        <f t="shared" si="14"/>
        <v>łódzkie</v>
      </c>
      <c r="F114">
        <v>15</v>
      </c>
      <c r="G114" t="str">
        <f>"Zespół Szkół Ponadgimnazjalnych Nr 1, ul. Wojciecha Kossaka 1, 26-300 Opoczno"</f>
        <v>Zespół Szkół Ponadgimnazjalnych Nr 1, ul. Wojciecha Kossaka 1, 26-300 Opoczno</v>
      </c>
      <c r="H114">
        <v>1505</v>
      </c>
      <c r="I114">
        <v>1505</v>
      </c>
      <c r="J114">
        <v>0</v>
      </c>
      <c r="K114">
        <v>1060</v>
      </c>
      <c r="L114">
        <v>674</v>
      </c>
      <c r="M114">
        <v>386</v>
      </c>
      <c r="N114">
        <v>386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386</v>
      </c>
      <c r="Z114">
        <v>0</v>
      </c>
      <c r="AA114">
        <v>0</v>
      </c>
      <c r="AB114">
        <v>386</v>
      </c>
      <c r="AC114">
        <v>15</v>
      </c>
      <c r="AD114">
        <v>371</v>
      </c>
      <c r="AE114">
        <v>8</v>
      </c>
      <c r="AF114">
        <v>1</v>
      </c>
      <c r="AG114">
        <v>0</v>
      </c>
      <c r="AH114">
        <v>0</v>
      </c>
      <c r="AI114">
        <v>0</v>
      </c>
      <c r="AJ114">
        <v>6</v>
      </c>
      <c r="AK114">
        <v>0</v>
      </c>
      <c r="AL114">
        <v>1</v>
      </c>
      <c r="AM114">
        <v>0</v>
      </c>
      <c r="AN114">
        <v>0</v>
      </c>
      <c r="AO114">
        <v>0</v>
      </c>
      <c r="AP114">
        <v>8</v>
      </c>
      <c r="AQ114">
        <v>3</v>
      </c>
      <c r="AR114">
        <v>2</v>
      </c>
      <c r="AS114">
        <v>0</v>
      </c>
      <c r="AT114">
        <v>0</v>
      </c>
      <c r="AU114">
        <v>1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3</v>
      </c>
      <c r="BC114">
        <v>24</v>
      </c>
      <c r="BD114">
        <v>12</v>
      </c>
      <c r="BE114">
        <v>1</v>
      </c>
      <c r="BF114">
        <v>2</v>
      </c>
      <c r="BG114">
        <v>0</v>
      </c>
      <c r="BH114">
        <v>0</v>
      </c>
      <c r="BI114">
        <v>1</v>
      </c>
      <c r="BJ114">
        <v>0</v>
      </c>
      <c r="BK114">
        <v>0</v>
      </c>
      <c r="BL114">
        <v>1</v>
      </c>
      <c r="BM114">
        <v>7</v>
      </c>
      <c r="BN114">
        <v>24</v>
      </c>
      <c r="BO114">
        <v>166</v>
      </c>
      <c r="BP114">
        <v>94</v>
      </c>
      <c r="BQ114">
        <v>3</v>
      </c>
      <c r="BR114">
        <v>3</v>
      </c>
      <c r="BS114">
        <v>0</v>
      </c>
      <c r="BT114">
        <v>1</v>
      </c>
      <c r="BU114">
        <v>62</v>
      </c>
      <c r="BV114">
        <v>0</v>
      </c>
      <c r="BW114">
        <v>1</v>
      </c>
      <c r="BX114">
        <v>1</v>
      </c>
      <c r="BY114">
        <v>1</v>
      </c>
      <c r="BZ114">
        <v>166</v>
      </c>
      <c r="CA114">
        <v>5</v>
      </c>
      <c r="CB114">
        <v>2</v>
      </c>
      <c r="CC114">
        <v>0</v>
      </c>
      <c r="CD114">
        <v>0</v>
      </c>
      <c r="CE114">
        <v>0</v>
      </c>
      <c r="CF114">
        <v>0</v>
      </c>
      <c r="CG114">
        <v>2</v>
      </c>
      <c r="CH114">
        <v>0</v>
      </c>
      <c r="CI114">
        <v>0</v>
      </c>
      <c r="CJ114">
        <v>0</v>
      </c>
      <c r="CK114">
        <v>1</v>
      </c>
      <c r="CL114">
        <v>5</v>
      </c>
      <c r="CM114">
        <v>7</v>
      </c>
      <c r="CN114">
        <v>3</v>
      </c>
      <c r="CO114">
        <v>1</v>
      </c>
      <c r="CP114">
        <v>0</v>
      </c>
      <c r="CQ114">
        <v>0</v>
      </c>
      <c r="CR114">
        <v>3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7</v>
      </c>
      <c r="CY114">
        <v>27</v>
      </c>
      <c r="CZ114">
        <v>18</v>
      </c>
      <c r="DA114">
        <v>2</v>
      </c>
      <c r="DB114">
        <v>0</v>
      </c>
      <c r="DC114">
        <v>0</v>
      </c>
      <c r="DD114">
        <v>2</v>
      </c>
      <c r="DE114">
        <v>0</v>
      </c>
      <c r="DF114">
        <v>2</v>
      </c>
      <c r="DG114">
        <v>1</v>
      </c>
      <c r="DH114">
        <v>0</v>
      </c>
      <c r="DI114">
        <v>2</v>
      </c>
      <c r="DJ114">
        <v>27</v>
      </c>
      <c r="DK114">
        <v>95</v>
      </c>
      <c r="DL114">
        <v>64</v>
      </c>
      <c r="DM114">
        <v>16</v>
      </c>
      <c r="DN114">
        <v>2</v>
      </c>
      <c r="DO114">
        <v>1</v>
      </c>
      <c r="DP114">
        <v>9</v>
      </c>
      <c r="DQ114">
        <v>0</v>
      </c>
      <c r="DR114">
        <v>0</v>
      </c>
      <c r="DS114">
        <v>1</v>
      </c>
      <c r="DT114">
        <v>2</v>
      </c>
      <c r="DU114">
        <v>0</v>
      </c>
      <c r="DV114">
        <v>95</v>
      </c>
      <c r="DW114">
        <v>30</v>
      </c>
      <c r="DX114">
        <v>1</v>
      </c>
      <c r="DY114">
        <v>2</v>
      </c>
      <c r="DZ114">
        <v>0</v>
      </c>
      <c r="EA114">
        <v>0</v>
      </c>
      <c r="EB114">
        <v>7</v>
      </c>
      <c r="EC114">
        <v>0</v>
      </c>
      <c r="ED114">
        <v>0</v>
      </c>
      <c r="EE114">
        <v>0</v>
      </c>
      <c r="EF114">
        <v>0</v>
      </c>
      <c r="EG114">
        <v>20</v>
      </c>
      <c r="EH114">
        <v>30</v>
      </c>
      <c r="EI114">
        <v>1</v>
      </c>
      <c r="EJ114">
        <v>1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1</v>
      </c>
      <c r="ES114">
        <v>3</v>
      </c>
      <c r="ET114">
        <v>3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3</v>
      </c>
      <c r="FE114">
        <v>2</v>
      </c>
      <c r="FF114">
        <v>0</v>
      </c>
      <c r="FG114">
        <v>1</v>
      </c>
      <c r="FH114">
        <v>1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2</v>
      </c>
    </row>
    <row r="115" spans="1:172" ht="14.25">
      <c r="A115">
        <v>110</v>
      </c>
      <c r="B115" t="str">
        <f t="shared" si="18"/>
        <v>100704</v>
      </c>
      <c r="C115" t="str">
        <f t="shared" si="19"/>
        <v>Opoczno</v>
      </c>
      <c r="D115" t="str">
        <f t="shared" si="20"/>
        <v>opoczyński</v>
      </c>
      <c r="E115" t="str">
        <f t="shared" si="14"/>
        <v>łódzkie</v>
      </c>
      <c r="F115">
        <v>16</v>
      </c>
      <c r="G115" t="str">
        <f>"Zespół Szkół Samorządowych Nr 3, ul. Armii Krajowej 1, 26-300 Opoczno"</f>
        <v>Zespół Szkół Samorządowych Nr 3, ul. Armii Krajowej 1, 26-300 Opoczno</v>
      </c>
      <c r="H115">
        <v>1321</v>
      </c>
      <c r="I115">
        <v>1321</v>
      </c>
      <c r="J115">
        <v>0</v>
      </c>
      <c r="K115">
        <v>940</v>
      </c>
      <c r="L115">
        <v>590</v>
      </c>
      <c r="M115">
        <v>350</v>
      </c>
      <c r="N115">
        <v>350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350</v>
      </c>
      <c r="Z115">
        <v>0</v>
      </c>
      <c r="AA115">
        <v>0</v>
      </c>
      <c r="AB115">
        <v>350</v>
      </c>
      <c r="AC115">
        <v>13</v>
      </c>
      <c r="AD115">
        <v>337</v>
      </c>
      <c r="AE115">
        <v>15</v>
      </c>
      <c r="AF115">
        <v>3</v>
      </c>
      <c r="AG115">
        <v>0</v>
      </c>
      <c r="AH115">
        <v>0</v>
      </c>
      <c r="AI115">
        <v>0</v>
      </c>
      <c r="AJ115">
        <v>11</v>
      </c>
      <c r="AK115">
        <v>1</v>
      </c>
      <c r="AL115">
        <v>0</v>
      </c>
      <c r="AM115">
        <v>0</v>
      </c>
      <c r="AN115">
        <v>0</v>
      </c>
      <c r="AO115">
        <v>0</v>
      </c>
      <c r="AP115">
        <v>15</v>
      </c>
      <c r="AQ115">
        <v>8</v>
      </c>
      <c r="AR115">
        <v>6</v>
      </c>
      <c r="AS115">
        <v>1</v>
      </c>
      <c r="AT115">
        <v>0</v>
      </c>
      <c r="AU115">
        <v>0</v>
      </c>
      <c r="AV115">
        <v>0</v>
      </c>
      <c r="AW115">
        <v>1</v>
      </c>
      <c r="AX115">
        <v>0</v>
      </c>
      <c r="AY115">
        <v>0</v>
      </c>
      <c r="AZ115">
        <v>0</v>
      </c>
      <c r="BA115">
        <v>0</v>
      </c>
      <c r="BB115">
        <v>8</v>
      </c>
      <c r="BC115">
        <v>28</v>
      </c>
      <c r="BD115">
        <v>8</v>
      </c>
      <c r="BE115">
        <v>5</v>
      </c>
      <c r="BF115">
        <v>7</v>
      </c>
      <c r="BG115">
        <v>0</v>
      </c>
      <c r="BH115">
        <v>1</v>
      </c>
      <c r="BI115">
        <v>2</v>
      </c>
      <c r="BJ115">
        <v>1</v>
      </c>
      <c r="BK115">
        <v>0</v>
      </c>
      <c r="BL115">
        <v>0</v>
      </c>
      <c r="BM115">
        <v>4</v>
      </c>
      <c r="BN115">
        <v>28</v>
      </c>
      <c r="BO115">
        <v>160</v>
      </c>
      <c r="BP115">
        <v>95</v>
      </c>
      <c r="BQ115">
        <v>4</v>
      </c>
      <c r="BR115">
        <v>4</v>
      </c>
      <c r="BS115">
        <v>2</v>
      </c>
      <c r="BT115">
        <v>0</v>
      </c>
      <c r="BU115">
        <v>55</v>
      </c>
      <c r="BV115">
        <v>0</v>
      </c>
      <c r="BW115">
        <v>0</v>
      </c>
      <c r="BX115">
        <v>0</v>
      </c>
      <c r="BY115">
        <v>0</v>
      </c>
      <c r="BZ115">
        <v>160</v>
      </c>
      <c r="CA115">
        <v>9</v>
      </c>
      <c r="CB115">
        <v>4</v>
      </c>
      <c r="CC115">
        <v>2</v>
      </c>
      <c r="CD115">
        <v>0</v>
      </c>
      <c r="CE115">
        <v>1</v>
      </c>
      <c r="CF115">
        <v>0</v>
      </c>
      <c r="CG115">
        <v>1</v>
      </c>
      <c r="CH115">
        <v>0</v>
      </c>
      <c r="CI115">
        <v>0</v>
      </c>
      <c r="CJ115">
        <v>1</v>
      </c>
      <c r="CK115">
        <v>0</v>
      </c>
      <c r="CL115">
        <v>9</v>
      </c>
      <c r="CM115">
        <v>4</v>
      </c>
      <c r="CN115">
        <v>3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1</v>
      </c>
      <c r="CX115">
        <v>4</v>
      </c>
      <c r="CY115">
        <v>18</v>
      </c>
      <c r="CZ115">
        <v>7</v>
      </c>
      <c r="DA115">
        <v>4</v>
      </c>
      <c r="DB115">
        <v>1</v>
      </c>
      <c r="DC115">
        <v>5</v>
      </c>
      <c r="DD115">
        <v>1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18</v>
      </c>
      <c r="DK115">
        <v>69</v>
      </c>
      <c r="DL115">
        <v>53</v>
      </c>
      <c r="DM115">
        <v>8</v>
      </c>
      <c r="DN115">
        <v>0</v>
      </c>
      <c r="DO115">
        <v>1</v>
      </c>
      <c r="DP115">
        <v>2</v>
      </c>
      <c r="DQ115">
        <v>1</v>
      </c>
      <c r="DR115">
        <v>0</v>
      </c>
      <c r="DS115">
        <v>0</v>
      </c>
      <c r="DT115">
        <v>0</v>
      </c>
      <c r="DU115">
        <v>4</v>
      </c>
      <c r="DV115">
        <v>69</v>
      </c>
      <c r="DW115">
        <v>24</v>
      </c>
      <c r="DX115">
        <v>3</v>
      </c>
      <c r="DY115">
        <v>1</v>
      </c>
      <c r="DZ115">
        <v>2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18</v>
      </c>
      <c r="EH115">
        <v>24</v>
      </c>
      <c r="EI115">
        <v>1</v>
      </c>
      <c r="EJ115">
        <v>0</v>
      </c>
      <c r="EK115">
        <v>0</v>
      </c>
      <c r="EL115">
        <v>1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1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1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1</v>
      </c>
      <c r="FP115">
        <v>1</v>
      </c>
    </row>
    <row r="116" spans="1:172" ht="14.25">
      <c r="A116">
        <v>111</v>
      </c>
      <c r="B116" t="str">
        <f t="shared" si="18"/>
        <v>100704</v>
      </c>
      <c r="C116" t="str">
        <f t="shared" si="19"/>
        <v>Opoczno</v>
      </c>
      <c r="D116" t="str">
        <f t="shared" si="20"/>
        <v>opoczyński</v>
      </c>
      <c r="E116" t="str">
        <f t="shared" si="14"/>
        <v>łódzkie</v>
      </c>
      <c r="F116">
        <v>17</v>
      </c>
      <c r="G116" t="str">
        <f>"Przedszkole Nr 8, ul. Mikołaja Kopernika 10A, 26-300 Opoczno"</f>
        <v>Przedszkole Nr 8, ul. Mikołaja Kopernika 10A, 26-300 Opoczno</v>
      </c>
      <c r="H116">
        <v>1486</v>
      </c>
      <c r="I116">
        <v>1486</v>
      </c>
      <c r="J116">
        <v>0</v>
      </c>
      <c r="K116">
        <v>1050</v>
      </c>
      <c r="L116">
        <v>678</v>
      </c>
      <c r="M116">
        <v>372</v>
      </c>
      <c r="N116">
        <v>372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372</v>
      </c>
      <c r="Z116">
        <v>0</v>
      </c>
      <c r="AA116">
        <v>0</v>
      </c>
      <c r="AB116">
        <v>372</v>
      </c>
      <c r="AC116">
        <v>18</v>
      </c>
      <c r="AD116">
        <v>354</v>
      </c>
      <c r="AE116">
        <v>13</v>
      </c>
      <c r="AF116">
        <v>0</v>
      </c>
      <c r="AG116">
        <v>0</v>
      </c>
      <c r="AH116">
        <v>0</v>
      </c>
      <c r="AI116">
        <v>1</v>
      </c>
      <c r="AJ116">
        <v>10</v>
      </c>
      <c r="AK116">
        <v>0</v>
      </c>
      <c r="AL116">
        <v>0</v>
      </c>
      <c r="AM116">
        <v>0</v>
      </c>
      <c r="AN116">
        <v>0</v>
      </c>
      <c r="AO116">
        <v>2</v>
      </c>
      <c r="AP116">
        <v>13</v>
      </c>
      <c r="AQ116">
        <v>3</v>
      </c>
      <c r="AR116">
        <v>2</v>
      </c>
      <c r="AS116">
        <v>1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3</v>
      </c>
      <c r="BC116">
        <v>27</v>
      </c>
      <c r="BD116">
        <v>14</v>
      </c>
      <c r="BE116">
        <v>5</v>
      </c>
      <c r="BF116">
        <v>2</v>
      </c>
      <c r="BG116">
        <v>0</v>
      </c>
      <c r="BH116">
        <v>1</v>
      </c>
      <c r="BI116">
        <v>3</v>
      </c>
      <c r="BJ116">
        <v>0</v>
      </c>
      <c r="BK116">
        <v>1</v>
      </c>
      <c r="BL116">
        <v>0</v>
      </c>
      <c r="BM116">
        <v>1</v>
      </c>
      <c r="BN116">
        <v>27</v>
      </c>
      <c r="BO116">
        <v>146</v>
      </c>
      <c r="BP116">
        <v>71</v>
      </c>
      <c r="BQ116">
        <v>6</v>
      </c>
      <c r="BR116">
        <v>6</v>
      </c>
      <c r="BS116">
        <v>1</v>
      </c>
      <c r="BT116">
        <v>0</v>
      </c>
      <c r="BU116">
        <v>60</v>
      </c>
      <c r="BV116">
        <v>1</v>
      </c>
      <c r="BW116">
        <v>0</v>
      </c>
      <c r="BX116">
        <v>0</v>
      </c>
      <c r="BY116">
        <v>1</v>
      </c>
      <c r="BZ116">
        <v>146</v>
      </c>
      <c r="CA116">
        <v>8</v>
      </c>
      <c r="CB116">
        <v>4</v>
      </c>
      <c r="CC116">
        <v>2</v>
      </c>
      <c r="CD116">
        <v>1</v>
      </c>
      <c r="CE116">
        <v>0</v>
      </c>
      <c r="CF116">
        <v>0</v>
      </c>
      <c r="CG116">
        <v>0</v>
      </c>
      <c r="CH116">
        <v>0</v>
      </c>
      <c r="CI116">
        <v>1</v>
      </c>
      <c r="CJ116">
        <v>0</v>
      </c>
      <c r="CK116">
        <v>0</v>
      </c>
      <c r="CL116">
        <v>8</v>
      </c>
      <c r="CM116">
        <v>6</v>
      </c>
      <c r="CN116">
        <v>5</v>
      </c>
      <c r="CO116">
        <v>0</v>
      </c>
      <c r="CP116">
        <v>0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6</v>
      </c>
      <c r="CY116">
        <v>26</v>
      </c>
      <c r="CZ116">
        <v>18</v>
      </c>
      <c r="DA116">
        <v>2</v>
      </c>
      <c r="DB116">
        <v>0</v>
      </c>
      <c r="DC116">
        <v>1</v>
      </c>
      <c r="DD116">
        <v>0</v>
      </c>
      <c r="DE116">
        <v>2</v>
      </c>
      <c r="DF116">
        <v>1</v>
      </c>
      <c r="DG116">
        <v>0</v>
      </c>
      <c r="DH116">
        <v>2</v>
      </c>
      <c r="DI116">
        <v>0</v>
      </c>
      <c r="DJ116">
        <v>26</v>
      </c>
      <c r="DK116">
        <v>88</v>
      </c>
      <c r="DL116">
        <v>67</v>
      </c>
      <c r="DM116">
        <v>12</v>
      </c>
      <c r="DN116">
        <v>3</v>
      </c>
      <c r="DO116">
        <v>1</v>
      </c>
      <c r="DP116">
        <v>2</v>
      </c>
      <c r="DQ116">
        <v>0</v>
      </c>
      <c r="DR116">
        <v>0</v>
      </c>
      <c r="DS116">
        <v>0</v>
      </c>
      <c r="DT116">
        <v>2</v>
      </c>
      <c r="DU116">
        <v>1</v>
      </c>
      <c r="DV116">
        <v>88</v>
      </c>
      <c r="DW116">
        <v>30</v>
      </c>
      <c r="DX116">
        <v>0</v>
      </c>
      <c r="DY116">
        <v>0</v>
      </c>
      <c r="DZ116">
        <v>0</v>
      </c>
      <c r="EA116">
        <v>0</v>
      </c>
      <c r="EB116">
        <v>2</v>
      </c>
      <c r="EC116">
        <v>0</v>
      </c>
      <c r="ED116">
        <v>0</v>
      </c>
      <c r="EE116">
        <v>1</v>
      </c>
      <c r="EF116">
        <v>0</v>
      </c>
      <c r="EG116">
        <v>27</v>
      </c>
      <c r="EH116">
        <v>30</v>
      </c>
      <c r="EI116">
        <v>5</v>
      </c>
      <c r="EJ116">
        <v>1</v>
      </c>
      <c r="EK116">
        <v>3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1</v>
      </c>
      <c r="ER116">
        <v>5</v>
      </c>
      <c r="ES116">
        <v>1</v>
      </c>
      <c r="ET116">
        <v>0</v>
      </c>
      <c r="EU116">
        <v>1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1</v>
      </c>
      <c r="FE116">
        <v>1</v>
      </c>
      <c r="FF116">
        <v>0</v>
      </c>
      <c r="FG116">
        <v>1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1</v>
      </c>
    </row>
    <row r="117" spans="1:172" ht="14.25">
      <c r="A117">
        <v>112</v>
      </c>
      <c r="B117" t="str">
        <f t="shared" si="18"/>
        <v>100704</v>
      </c>
      <c r="C117" t="str">
        <f t="shared" si="19"/>
        <v>Opoczno</v>
      </c>
      <c r="D117" t="str">
        <f t="shared" si="20"/>
        <v>opoczyński</v>
      </c>
      <c r="E117" t="str">
        <f t="shared" si="14"/>
        <v>łódzkie</v>
      </c>
      <c r="F117">
        <v>18</v>
      </c>
      <c r="G117" t="str">
        <f>"Przedszkole Nr 6, ul. Mikołaja Kopernika 3, 26-300 Opoczno"</f>
        <v>Przedszkole Nr 6, ul. Mikołaja Kopernika 3, 26-300 Opoczno</v>
      </c>
      <c r="H117">
        <v>1448</v>
      </c>
      <c r="I117">
        <v>1448</v>
      </c>
      <c r="J117">
        <v>0</v>
      </c>
      <c r="K117">
        <v>1019</v>
      </c>
      <c r="L117">
        <v>644</v>
      </c>
      <c r="M117">
        <v>375</v>
      </c>
      <c r="N117">
        <v>375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375</v>
      </c>
      <c r="Z117">
        <v>0</v>
      </c>
      <c r="AA117">
        <v>0</v>
      </c>
      <c r="AB117">
        <v>375</v>
      </c>
      <c r="AC117">
        <v>14</v>
      </c>
      <c r="AD117">
        <v>361</v>
      </c>
      <c r="AE117">
        <v>13</v>
      </c>
      <c r="AF117">
        <v>5</v>
      </c>
      <c r="AG117">
        <v>0</v>
      </c>
      <c r="AH117">
        <v>2</v>
      </c>
      <c r="AI117">
        <v>0</v>
      </c>
      <c r="AJ117">
        <v>5</v>
      </c>
      <c r="AK117">
        <v>0</v>
      </c>
      <c r="AL117">
        <v>0</v>
      </c>
      <c r="AM117">
        <v>0</v>
      </c>
      <c r="AN117">
        <v>1</v>
      </c>
      <c r="AO117">
        <v>0</v>
      </c>
      <c r="AP117">
        <v>13</v>
      </c>
      <c r="AQ117">
        <v>4</v>
      </c>
      <c r="AR117">
        <v>3</v>
      </c>
      <c r="AS117">
        <v>0</v>
      </c>
      <c r="AT117">
        <v>0</v>
      </c>
      <c r="AU117">
        <v>0</v>
      </c>
      <c r="AV117">
        <v>1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4</v>
      </c>
      <c r="BC117">
        <v>35</v>
      </c>
      <c r="BD117">
        <v>16</v>
      </c>
      <c r="BE117">
        <v>6</v>
      </c>
      <c r="BF117">
        <v>4</v>
      </c>
      <c r="BG117">
        <v>0</v>
      </c>
      <c r="BH117">
        <v>0</v>
      </c>
      <c r="BI117">
        <v>1</v>
      </c>
      <c r="BJ117">
        <v>1</v>
      </c>
      <c r="BK117">
        <v>0</v>
      </c>
      <c r="BL117">
        <v>2</v>
      </c>
      <c r="BM117">
        <v>5</v>
      </c>
      <c r="BN117">
        <v>35</v>
      </c>
      <c r="BO117">
        <v>143</v>
      </c>
      <c r="BP117">
        <v>78</v>
      </c>
      <c r="BQ117">
        <v>3</v>
      </c>
      <c r="BR117">
        <v>7</v>
      </c>
      <c r="BS117">
        <v>1</v>
      </c>
      <c r="BT117">
        <v>0</v>
      </c>
      <c r="BU117">
        <v>53</v>
      </c>
      <c r="BV117">
        <v>0</v>
      </c>
      <c r="BW117">
        <v>0</v>
      </c>
      <c r="BX117">
        <v>1</v>
      </c>
      <c r="BY117">
        <v>0</v>
      </c>
      <c r="BZ117">
        <v>143</v>
      </c>
      <c r="CA117">
        <v>13</v>
      </c>
      <c r="CB117">
        <v>5</v>
      </c>
      <c r="CC117">
        <v>0</v>
      </c>
      <c r="CD117">
        <v>1</v>
      </c>
      <c r="CE117">
        <v>0</v>
      </c>
      <c r="CF117">
        <v>0</v>
      </c>
      <c r="CG117">
        <v>5</v>
      </c>
      <c r="CH117">
        <v>0</v>
      </c>
      <c r="CI117">
        <v>1</v>
      </c>
      <c r="CJ117">
        <v>0</v>
      </c>
      <c r="CK117">
        <v>1</v>
      </c>
      <c r="CL117">
        <v>13</v>
      </c>
      <c r="CM117">
        <v>10</v>
      </c>
      <c r="CN117">
        <v>4</v>
      </c>
      <c r="CO117">
        <v>0</v>
      </c>
      <c r="CP117">
        <v>3</v>
      </c>
      <c r="CQ117">
        <v>1</v>
      </c>
      <c r="CR117">
        <v>0</v>
      </c>
      <c r="CS117">
        <v>1</v>
      </c>
      <c r="CT117">
        <v>0</v>
      </c>
      <c r="CU117">
        <v>0</v>
      </c>
      <c r="CV117">
        <v>1</v>
      </c>
      <c r="CW117">
        <v>0</v>
      </c>
      <c r="CX117">
        <v>10</v>
      </c>
      <c r="CY117">
        <v>15</v>
      </c>
      <c r="CZ117">
        <v>10</v>
      </c>
      <c r="DA117">
        <v>1</v>
      </c>
      <c r="DB117">
        <v>1</v>
      </c>
      <c r="DC117">
        <v>1</v>
      </c>
      <c r="DD117">
        <v>0</v>
      </c>
      <c r="DE117">
        <v>1</v>
      </c>
      <c r="DF117">
        <v>0</v>
      </c>
      <c r="DG117">
        <v>0</v>
      </c>
      <c r="DH117">
        <v>1</v>
      </c>
      <c r="DI117">
        <v>0</v>
      </c>
      <c r="DJ117">
        <v>15</v>
      </c>
      <c r="DK117">
        <v>85</v>
      </c>
      <c r="DL117">
        <v>61</v>
      </c>
      <c r="DM117">
        <v>13</v>
      </c>
      <c r="DN117">
        <v>0</v>
      </c>
      <c r="DO117">
        <v>3</v>
      </c>
      <c r="DP117">
        <v>0</v>
      </c>
      <c r="DQ117">
        <v>1</v>
      </c>
      <c r="DR117">
        <v>1</v>
      </c>
      <c r="DS117">
        <v>1</v>
      </c>
      <c r="DT117">
        <v>3</v>
      </c>
      <c r="DU117">
        <v>2</v>
      </c>
      <c r="DV117">
        <v>85</v>
      </c>
      <c r="DW117">
        <v>42</v>
      </c>
      <c r="DX117">
        <v>2</v>
      </c>
      <c r="DY117">
        <v>3</v>
      </c>
      <c r="DZ117">
        <v>0</v>
      </c>
      <c r="EA117">
        <v>0</v>
      </c>
      <c r="EB117">
        <v>7</v>
      </c>
      <c r="EC117">
        <v>3</v>
      </c>
      <c r="ED117">
        <v>0</v>
      </c>
      <c r="EE117">
        <v>0</v>
      </c>
      <c r="EF117">
        <v>0</v>
      </c>
      <c r="EG117">
        <v>27</v>
      </c>
      <c r="EH117">
        <v>42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1</v>
      </c>
      <c r="FF117">
        <v>0</v>
      </c>
      <c r="FG117">
        <v>1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1</v>
      </c>
    </row>
    <row r="118" spans="1:172" ht="14.25">
      <c r="A118">
        <v>113</v>
      </c>
      <c r="B118" t="str">
        <f t="shared" si="18"/>
        <v>100704</v>
      </c>
      <c r="C118" t="str">
        <f t="shared" si="19"/>
        <v>Opoczno</v>
      </c>
      <c r="D118" t="str">
        <f t="shared" si="20"/>
        <v>opoczyński</v>
      </c>
      <c r="E118" t="str">
        <f t="shared" si="14"/>
        <v>łódzkie</v>
      </c>
      <c r="F118">
        <v>19</v>
      </c>
      <c r="G118" t="str">
        <f>"Państwowa Straż Pożarna w Opocznie, ul. Rolna 1, 26-300 Opoczno"</f>
        <v>Państwowa Straż Pożarna w Opocznie, ul. Rolna 1, 26-300 Opoczno</v>
      </c>
      <c r="H118">
        <v>1385</v>
      </c>
      <c r="I118">
        <v>1385</v>
      </c>
      <c r="J118">
        <v>0</v>
      </c>
      <c r="K118">
        <v>980</v>
      </c>
      <c r="L118">
        <v>624</v>
      </c>
      <c r="M118">
        <v>356</v>
      </c>
      <c r="N118">
        <v>356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356</v>
      </c>
      <c r="Z118">
        <v>0</v>
      </c>
      <c r="AA118">
        <v>0</v>
      </c>
      <c r="AB118">
        <v>356</v>
      </c>
      <c r="AC118">
        <v>23</v>
      </c>
      <c r="AD118">
        <v>333</v>
      </c>
      <c r="AE118">
        <v>13</v>
      </c>
      <c r="AF118">
        <v>3</v>
      </c>
      <c r="AG118">
        <v>2</v>
      </c>
      <c r="AH118">
        <v>0</v>
      </c>
      <c r="AI118">
        <v>1</v>
      </c>
      <c r="AJ118">
        <v>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13</v>
      </c>
      <c r="AQ118">
        <v>4</v>
      </c>
      <c r="AR118">
        <v>2</v>
      </c>
      <c r="AS118">
        <v>1</v>
      </c>
      <c r="AT118">
        <v>0</v>
      </c>
      <c r="AU118">
        <v>0</v>
      </c>
      <c r="AV118">
        <v>1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4</v>
      </c>
      <c r="BC118">
        <v>25</v>
      </c>
      <c r="BD118">
        <v>12</v>
      </c>
      <c r="BE118">
        <v>3</v>
      </c>
      <c r="BF118">
        <v>2</v>
      </c>
      <c r="BG118">
        <v>2</v>
      </c>
      <c r="BH118">
        <v>2</v>
      </c>
      <c r="BI118">
        <v>1</v>
      </c>
      <c r="BJ118">
        <v>0</v>
      </c>
      <c r="BK118">
        <v>1</v>
      </c>
      <c r="BL118">
        <v>1</v>
      </c>
      <c r="BM118">
        <v>1</v>
      </c>
      <c r="BN118">
        <v>25</v>
      </c>
      <c r="BO118">
        <v>131</v>
      </c>
      <c r="BP118">
        <v>58</v>
      </c>
      <c r="BQ118">
        <v>3</v>
      </c>
      <c r="BR118">
        <v>2</v>
      </c>
      <c r="BS118">
        <v>2</v>
      </c>
      <c r="BT118">
        <v>1</v>
      </c>
      <c r="BU118">
        <v>60</v>
      </c>
      <c r="BV118">
        <v>1</v>
      </c>
      <c r="BW118">
        <v>0</v>
      </c>
      <c r="BX118">
        <v>2</v>
      </c>
      <c r="BY118">
        <v>2</v>
      </c>
      <c r="BZ118">
        <v>131</v>
      </c>
      <c r="CA118">
        <v>9</v>
      </c>
      <c r="CB118">
        <v>4</v>
      </c>
      <c r="CC118">
        <v>0</v>
      </c>
      <c r="CD118">
        <v>1</v>
      </c>
      <c r="CE118">
        <v>0</v>
      </c>
      <c r="CF118">
        <v>0</v>
      </c>
      <c r="CG118">
        <v>4</v>
      </c>
      <c r="CH118">
        <v>0</v>
      </c>
      <c r="CI118">
        <v>0</v>
      </c>
      <c r="CJ118">
        <v>0</v>
      </c>
      <c r="CK118">
        <v>0</v>
      </c>
      <c r="CL118">
        <v>9</v>
      </c>
      <c r="CM118">
        <v>4</v>
      </c>
      <c r="CN118">
        <v>4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4</v>
      </c>
      <c r="CY118">
        <v>32</v>
      </c>
      <c r="CZ118">
        <v>19</v>
      </c>
      <c r="DA118">
        <v>3</v>
      </c>
      <c r="DB118">
        <v>0</v>
      </c>
      <c r="DC118">
        <v>0</v>
      </c>
      <c r="DD118">
        <v>2</v>
      </c>
      <c r="DE118">
        <v>3</v>
      </c>
      <c r="DF118">
        <v>0</v>
      </c>
      <c r="DG118">
        <v>2</v>
      </c>
      <c r="DH118">
        <v>2</v>
      </c>
      <c r="DI118">
        <v>1</v>
      </c>
      <c r="DJ118">
        <v>32</v>
      </c>
      <c r="DK118">
        <v>77</v>
      </c>
      <c r="DL118">
        <v>59</v>
      </c>
      <c r="DM118">
        <v>11</v>
      </c>
      <c r="DN118">
        <v>1</v>
      </c>
      <c r="DO118">
        <v>0</v>
      </c>
      <c r="DP118">
        <v>3</v>
      </c>
      <c r="DQ118">
        <v>1</v>
      </c>
      <c r="DR118">
        <v>1</v>
      </c>
      <c r="DS118">
        <v>0</v>
      </c>
      <c r="DT118">
        <v>1</v>
      </c>
      <c r="DU118">
        <v>0</v>
      </c>
      <c r="DV118">
        <v>77</v>
      </c>
      <c r="DW118">
        <v>36</v>
      </c>
      <c r="DX118">
        <v>2</v>
      </c>
      <c r="DY118">
        <v>4</v>
      </c>
      <c r="DZ118">
        <v>0</v>
      </c>
      <c r="EA118">
        <v>0</v>
      </c>
      <c r="EB118">
        <v>7</v>
      </c>
      <c r="EC118">
        <v>3</v>
      </c>
      <c r="ED118">
        <v>0</v>
      </c>
      <c r="EE118">
        <v>0</v>
      </c>
      <c r="EF118">
        <v>0</v>
      </c>
      <c r="EG118">
        <v>20</v>
      </c>
      <c r="EH118">
        <v>36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2</v>
      </c>
      <c r="FF118">
        <v>0</v>
      </c>
      <c r="FG118">
        <v>0</v>
      </c>
      <c r="FH118">
        <v>1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1</v>
      </c>
      <c r="FP118">
        <v>2</v>
      </c>
    </row>
    <row r="119" spans="1:172" ht="14.25">
      <c r="A119">
        <v>114</v>
      </c>
      <c r="B119" t="str">
        <f t="shared" si="18"/>
        <v>100704</v>
      </c>
      <c r="C119" t="str">
        <f t="shared" si="19"/>
        <v>Opoczno</v>
      </c>
      <c r="D119" t="str">
        <f t="shared" si="20"/>
        <v>opoczyński</v>
      </c>
      <c r="E119" t="str">
        <f t="shared" si="14"/>
        <v>łódzkie</v>
      </c>
      <c r="F119">
        <v>20</v>
      </c>
      <c r="G119" t="str">
        <f>"Przedszkole Nr 5, ul. Partyzantów 36, 26-300 Opoczno"</f>
        <v>Przedszkole Nr 5, ul. Partyzantów 36, 26-300 Opoczno</v>
      </c>
      <c r="H119">
        <v>1435</v>
      </c>
      <c r="I119">
        <v>1435</v>
      </c>
      <c r="J119">
        <v>0</v>
      </c>
      <c r="K119">
        <v>1019</v>
      </c>
      <c r="L119">
        <v>617</v>
      </c>
      <c r="M119">
        <v>402</v>
      </c>
      <c r="N119">
        <v>402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402</v>
      </c>
      <c r="Z119">
        <v>0</v>
      </c>
      <c r="AA119">
        <v>0</v>
      </c>
      <c r="AB119">
        <v>402</v>
      </c>
      <c r="AC119">
        <v>9</v>
      </c>
      <c r="AD119">
        <v>393</v>
      </c>
      <c r="AE119">
        <v>9</v>
      </c>
      <c r="AF119">
        <v>1</v>
      </c>
      <c r="AG119">
        <v>0</v>
      </c>
      <c r="AH119">
        <v>0</v>
      </c>
      <c r="AI119">
        <v>1</v>
      </c>
      <c r="AJ119">
        <v>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9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53</v>
      </c>
      <c r="BD119">
        <v>31</v>
      </c>
      <c r="BE119">
        <v>10</v>
      </c>
      <c r="BF119">
        <v>1</v>
      </c>
      <c r="BG119">
        <v>0</v>
      </c>
      <c r="BH119">
        <v>2</v>
      </c>
      <c r="BI119">
        <v>0</v>
      </c>
      <c r="BJ119">
        <v>1</v>
      </c>
      <c r="BK119">
        <v>0</v>
      </c>
      <c r="BL119">
        <v>0</v>
      </c>
      <c r="BM119">
        <v>8</v>
      </c>
      <c r="BN119">
        <v>53</v>
      </c>
      <c r="BO119">
        <v>144</v>
      </c>
      <c r="BP119">
        <v>65</v>
      </c>
      <c r="BQ119">
        <v>4</v>
      </c>
      <c r="BR119">
        <v>8</v>
      </c>
      <c r="BS119">
        <v>2</v>
      </c>
      <c r="BT119">
        <v>1</v>
      </c>
      <c r="BU119">
        <v>64</v>
      </c>
      <c r="BV119">
        <v>0</v>
      </c>
      <c r="BW119">
        <v>0</v>
      </c>
      <c r="BX119">
        <v>0</v>
      </c>
      <c r="BY119">
        <v>0</v>
      </c>
      <c r="BZ119">
        <v>144</v>
      </c>
      <c r="CA119">
        <v>12</v>
      </c>
      <c r="CB119">
        <v>2</v>
      </c>
      <c r="CC119">
        <v>2</v>
      </c>
      <c r="CD119">
        <v>2</v>
      </c>
      <c r="CE119">
        <v>1</v>
      </c>
      <c r="CF119">
        <v>0</v>
      </c>
      <c r="CG119">
        <v>4</v>
      </c>
      <c r="CH119">
        <v>0</v>
      </c>
      <c r="CI119">
        <v>1</v>
      </c>
      <c r="CJ119">
        <v>0</v>
      </c>
      <c r="CK119">
        <v>0</v>
      </c>
      <c r="CL119">
        <v>12</v>
      </c>
      <c r="CM119">
        <v>3</v>
      </c>
      <c r="CN119">
        <v>3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3</v>
      </c>
      <c r="CY119">
        <v>24</v>
      </c>
      <c r="CZ119">
        <v>16</v>
      </c>
      <c r="DA119">
        <v>1</v>
      </c>
      <c r="DB119">
        <v>0</v>
      </c>
      <c r="DC119">
        <v>2</v>
      </c>
      <c r="DD119">
        <v>1</v>
      </c>
      <c r="DE119">
        <v>1</v>
      </c>
      <c r="DF119">
        <v>1</v>
      </c>
      <c r="DG119">
        <v>2</v>
      </c>
      <c r="DH119">
        <v>0</v>
      </c>
      <c r="DI119">
        <v>0</v>
      </c>
      <c r="DJ119">
        <v>24</v>
      </c>
      <c r="DK119">
        <v>111</v>
      </c>
      <c r="DL119">
        <v>89</v>
      </c>
      <c r="DM119">
        <v>5</v>
      </c>
      <c r="DN119">
        <v>2</v>
      </c>
      <c r="DO119">
        <v>1</v>
      </c>
      <c r="DP119">
        <v>8</v>
      </c>
      <c r="DQ119">
        <v>0</v>
      </c>
      <c r="DR119">
        <v>0</v>
      </c>
      <c r="DS119">
        <v>0</v>
      </c>
      <c r="DT119">
        <v>1</v>
      </c>
      <c r="DU119">
        <v>5</v>
      </c>
      <c r="DV119">
        <v>111</v>
      </c>
      <c r="DW119">
        <v>32</v>
      </c>
      <c r="DX119">
        <v>1</v>
      </c>
      <c r="DY119">
        <v>3</v>
      </c>
      <c r="DZ119">
        <v>0</v>
      </c>
      <c r="EA119">
        <v>0</v>
      </c>
      <c r="EB119">
        <v>5</v>
      </c>
      <c r="EC119">
        <v>1</v>
      </c>
      <c r="ED119">
        <v>2</v>
      </c>
      <c r="EE119">
        <v>1</v>
      </c>
      <c r="EF119">
        <v>0</v>
      </c>
      <c r="EG119">
        <v>19</v>
      </c>
      <c r="EH119">
        <v>32</v>
      </c>
      <c r="EI119">
        <v>4</v>
      </c>
      <c r="EJ119">
        <v>1</v>
      </c>
      <c r="EK119">
        <v>3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4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1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1</v>
      </c>
      <c r="FN119">
        <v>0</v>
      </c>
      <c r="FO119">
        <v>0</v>
      </c>
      <c r="FP119">
        <v>1</v>
      </c>
    </row>
    <row r="120" spans="1:172" ht="14.25">
      <c r="A120">
        <v>115</v>
      </c>
      <c r="B120" t="str">
        <f t="shared" si="18"/>
        <v>100704</v>
      </c>
      <c r="C120" t="str">
        <f t="shared" si="19"/>
        <v>Opoczno</v>
      </c>
      <c r="D120" t="str">
        <f t="shared" si="20"/>
        <v>opoczyński</v>
      </c>
      <c r="E120" t="str">
        <f t="shared" si="14"/>
        <v>łódzkie</v>
      </c>
      <c r="F120">
        <v>21</v>
      </c>
      <c r="G120" t="str">
        <f>"Zespół Szkół Samorządowych Nr 1, ul. Marii Curie-Skłodowskiej 5, 26-300 Opoczno"</f>
        <v>Zespół Szkół Samorządowych Nr 1, ul. Marii Curie-Skłodowskiej 5, 26-300 Opoczno</v>
      </c>
      <c r="H120">
        <v>1328</v>
      </c>
      <c r="I120">
        <v>1328</v>
      </c>
      <c r="J120">
        <v>0</v>
      </c>
      <c r="K120">
        <v>931</v>
      </c>
      <c r="L120">
        <v>634</v>
      </c>
      <c r="M120">
        <v>297</v>
      </c>
      <c r="N120">
        <v>297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297</v>
      </c>
      <c r="Z120">
        <v>0</v>
      </c>
      <c r="AA120">
        <v>0</v>
      </c>
      <c r="AB120">
        <v>297</v>
      </c>
      <c r="AC120">
        <v>21</v>
      </c>
      <c r="AD120">
        <v>276</v>
      </c>
      <c r="AE120">
        <v>12</v>
      </c>
      <c r="AF120">
        <v>7</v>
      </c>
      <c r="AG120">
        <v>0</v>
      </c>
      <c r="AH120">
        <v>0</v>
      </c>
      <c r="AI120">
        <v>2</v>
      </c>
      <c r="AJ120">
        <v>1</v>
      </c>
      <c r="AK120">
        <v>0</v>
      </c>
      <c r="AL120">
        <v>0</v>
      </c>
      <c r="AM120">
        <v>2</v>
      </c>
      <c r="AN120">
        <v>0</v>
      </c>
      <c r="AO120">
        <v>0</v>
      </c>
      <c r="AP120">
        <v>12</v>
      </c>
      <c r="AQ120">
        <v>9</v>
      </c>
      <c r="AR120">
        <v>6</v>
      </c>
      <c r="AS120">
        <v>1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1</v>
      </c>
      <c r="BA120">
        <v>1</v>
      </c>
      <c r="BB120">
        <v>9</v>
      </c>
      <c r="BC120">
        <v>29</v>
      </c>
      <c r="BD120">
        <v>13</v>
      </c>
      <c r="BE120">
        <v>5</v>
      </c>
      <c r="BF120">
        <v>6</v>
      </c>
      <c r="BG120">
        <v>1</v>
      </c>
      <c r="BH120">
        <v>0</v>
      </c>
      <c r="BI120">
        <v>1</v>
      </c>
      <c r="BJ120">
        <v>0</v>
      </c>
      <c r="BK120">
        <v>0</v>
      </c>
      <c r="BL120">
        <v>2</v>
      </c>
      <c r="BM120">
        <v>1</v>
      </c>
      <c r="BN120">
        <v>29</v>
      </c>
      <c r="BO120">
        <v>112</v>
      </c>
      <c r="BP120">
        <v>51</v>
      </c>
      <c r="BQ120">
        <v>2</v>
      </c>
      <c r="BR120">
        <v>2</v>
      </c>
      <c r="BS120">
        <v>2</v>
      </c>
      <c r="BT120">
        <v>0</v>
      </c>
      <c r="BU120">
        <v>55</v>
      </c>
      <c r="BV120">
        <v>0</v>
      </c>
      <c r="BW120">
        <v>0</v>
      </c>
      <c r="BX120">
        <v>0</v>
      </c>
      <c r="BY120">
        <v>0</v>
      </c>
      <c r="BZ120">
        <v>112</v>
      </c>
      <c r="CA120">
        <v>13</v>
      </c>
      <c r="CB120">
        <v>2</v>
      </c>
      <c r="CC120">
        <v>0</v>
      </c>
      <c r="CD120">
        <v>0</v>
      </c>
      <c r="CE120">
        <v>2</v>
      </c>
      <c r="CF120">
        <v>0</v>
      </c>
      <c r="CG120">
        <v>8</v>
      </c>
      <c r="CH120">
        <v>0</v>
      </c>
      <c r="CI120">
        <v>1</v>
      </c>
      <c r="CJ120">
        <v>0</v>
      </c>
      <c r="CK120">
        <v>0</v>
      </c>
      <c r="CL120">
        <v>13</v>
      </c>
      <c r="CM120">
        <v>4</v>
      </c>
      <c r="CN120">
        <v>4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4</v>
      </c>
      <c r="CY120">
        <v>14</v>
      </c>
      <c r="CZ120">
        <v>8</v>
      </c>
      <c r="DA120">
        <v>1</v>
      </c>
      <c r="DB120">
        <v>0</v>
      </c>
      <c r="DC120">
        <v>1</v>
      </c>
      <c r="DD120">
        <v>0</v>
      </c>
      <c r="DE120">
        <v>0</v>
      </c>
      <c r="DF120">
        <v>1</v>
      </c>
      <c r="DG120">
        <v>1</v>
      </c>
      <c r="DH120">
        <v>1</v>
      </c>
      <c r="DI120">
        <v>1</v>
      </c>
      <c r="DJ120">
        <v>14</v>
      </c>
      <c r="DK120">
        <v>57</v>
      </c>
      <c r="DL120">
        <v>47</v>
      </c>
      <c r="DM120">
        <v>5</v>
      </c>
      <c r="DN120">
        <v>0</v>
      </c>
      <c r="DO120">
        <v>0</v>
      </c>
      <c r="DP120">
        <v>2</v>
      </c>
      <c r="DQ120">
        <v>0</v>
      </c>
      <c r="DR120">
        <v>0</v>
      </c>
      <c r="DS120">
        <v>1</v>
      </c>
      <c r="DT120">
        <v>2</v>
      </c>
      <c r="DU120">
        <v>0</v>
      </c>
      <c r="DV120">
        <v>57</v>
      </c>
      <c r="DW120">
        <v>22</v>
      </c>
      <c r="DX120">
        <v>1</v>
      </c>
      <c r="DY120">
        <v>6</v>
      </c>
      <c r="DZ120">
        <v>0</v>
      </c>
      <c r="EA120">
        <v>0</v>
      </c>
      <c r="EB120">
        <v>4</v>
      </c>
      <c r="EC120">
        <v>1</v>
      </c>
      <c r="ED120">
        <v>0</v>
      </c>
      <c r="EE120">
        <v>0</v>
      </c>
      <c r="EF120">
        <v>0</v>
      </c>
      <c r="EG120">
        <v>10</v>
      </c>
      <c r="EH120">
        <v>22</v>
      </c>
      <c r="EI120">
        <v>3</v>
      </c>
      <c r="EJ120">
        <v>1</v>
      </c>
      <c r="EK120">
        <v>1</v>
      </c>
      <c r="EL120">
        <v>1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3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1</v>
      </c>
      <c r="FF120">
        <v>1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1</v>
      </c>
    </row>
    <row r="121" spans="1:172" ht="14.25">
      <c r="A121">
        <v>116</v>
      </c>
      <c r="B121" t="str">
        <f t="shared" si="18"/>
        <v>100704</v>
      </c>
      <c r="C121" t="str">
        <f t="shared" si="19"/>
        <v>Opoczno</v>
      </c>
      <c r="D121" t="str">
        <f t="shared" si="20"/>
        <v>opoczyński</v>
      </c>
      <c r="E121" t="str">
        <f t="shared" si="14"/>
        <v>łódzkie</v>
      </c>
      <c r="F121">
        <v>22</v>
      </c>
      <c r="G121" t="str">
        <f>"Zespół Szkół Samorządowych Nr 2, ul. Inowłodzka 3, 26-300 Opoczno"</f>
        <v>Zespół Szkół Samorządowych Nr 2, ul. Inowłodzka 3, 26-300 Opoczno</v>
      </c>
      <c r="H121">
        <v>1578</v>
      </c>
      <c r="I121">
        <v>1578</v>
      </c>
      <c r="J121">
        <v>0</v>
      </c>
      <c r="K121">
        <v>1110</v>
      </c>
      <c r="L121">
        <v>702</v>
      </c>
      <c r="M121">
        <v>408</v>
      </c>
      <c r="N121">
        <v>408</v>
      </c>
      <c r="O121">
        <v>0</v>
      </c>
      <c r="P121">
        <v>0</v>
      </c>
      <c r="Q121">
        <v>2</v>
      </c>
      <c r="R121">
        <v>1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409</v>
      </c>
      <c r="Z121">
        <v>1</v>
      </c>
      <c r="AA121">
        <v>0</v>
      </c>
      <c r="AB121">
        <v>409</v>
      </c>
      <c r="AC121">
        <v>24</v>
      </c>
      <c r="AD121">
        <v>385</v>
      </c>
      <c r="AE121">
        <v>12</v>
      </c>
      <c r="AF121">
        <v>4</v>
      </c>
      <c r="AG121">
        <v>0</v>
      </c>
      <c r="AH121">
        <v>1</v>
      </c>
      <c r="AI121">
        <v>0</v>
      </c>
      <c r="AJ121">
        <v>6</v>
      </c>
      <c r="AK121">
        <v>0</v>
      </c>
      <c r="AL121">
        <v>0</v>
      </c>
      <c r="AM121">
        <v>0</v>
      </c>
      <c r="AN121">
        <v>1</v>
      </c>
      <c r="AO121">
        <v>0</v>
      </c>
      <c r="AP121">
        <v>12</v>
      </c>
      <c r="AQ121">
        <v>6</v>
      </c>
      <c r="AR121">
        <v>3</v>
      </c>
      <c r="AS121">
        <v>1</v>
      </c>
      <c r="AT121">
        <v>0</v>
      </c>
      <c r="AU121">
        <v>0</v>
      </c>
      <c r="AV121">
        <v>2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6</v>
      </c>
      <c r="BC121">
        <v>22</v>
      </c>
      <c r="BD121">
        <v>8</v>
      </c>
      <c r="BE121">
        <v>4</v>
      </c>
      <c r="BF121">
        <v>1</v>
      </c>
      <c r="BG121">
        <v>1</v>
      </c>
      <c r="BH121">
        <v>2</v>
      </c>
      <c r="BI121">
        <v>3</v>
      </c>
      <c r="BJ121">
        <v>0</v>
      </c>
      <c r="BK121">
        <v>0</v>
      </c>
      <c r="BL121">
        <v>0</v>
      </c>
      <c r="BM121">
        <v>3</v>
      </c>
      <c r="BN121">
        <v>22</v>
      </c>
      <c r="BO121">
        <v>178</v>
      </c>
      <c r="BP121">
        <v>78</v>
      </c>
      <c r="BQ121">
        <v>6</v>
      </c>
      <c r="BR121">
        <v>6</v>
      </c>
      <c r="BS121">
        <v>1</v>
      </c>
      <c r="BT121">
        <v>0</v>
      </c>
      <c r="BU121">
        <v>86</v>
      </c>
      <c r="BV121">
        <v>0</v>
      </c>
      <c r="BW121">
        <v>0</v>
      </c>
      <c r="BX121">
        <v>0</v>
      </c>
      <c r="BY121">
        <v>1</v>
      </c>
      <c r="BZ121">
        <v>178</v>
      </c>
      <c r="CA121">
        <v>2</v>
      </c>
      <c r="CB121">
        <v>0</v>
      </c>
      <c r="CC121">
        <v>1</v>
      </c>
      <c r="CD121">
        <v>1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2</v>
      </c>
      <c r="CM121">
        <v>10</v>
      </c>
      <c r="CN121">
        <v>8</v>
      </c>
      <c r="CO121">
        <v>0</v>
      </c>
      <c r="CP121">
        <v>1</v>
      </c>
      <c r="CQ121">
        <v>0</v>
      </c>
      <c r="CR121">
        <v>1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10</v>
      </c>
      <c r="CY121">
        <v>21</v>
      </c>
      <c r="CZ121">
        <v>12</v>
      </c>
      <c r="DA121">
        <v>3</v>
      </c>
      <c r="DB121">
        <v>0</v>
      </c>
      <c r="DC121">
        <v>0</v>
      </c>
      <c r="DD121">
        <v>2</v>
      </c>
      <c r="DE121">
        <v>1</v>
      </c>
      <c r="DF121">
        <v>0</v>
      </c>
      <c r="DG121">
        <v>2</v>
      </c>
      <c r="DH121">
        <v>1</v>
      </c>
      <c r="DI121">
        <v>0</v>
      </c>
      <c r="DJ121">
        <v>21</v>
      </c>
      <c r="DK121">
        <v>83</v>
      </c>
      <c r="DL121">
        <v>64</v>
      </c>
      <c r="DM121">
        <v>14</v>
      </c>
      <c r="DN121">
        <v>1</v>
      </c>
      <c r="DO121">
        <v>0</v>
      </c>
      <c r="DP121">
        <v>3</v>
      </c>
      <c r="DQ121">
        <v>0</v>
      </c>
      <c r="DR121">
        <v>0</v>
      </c>
      <c r="DS121">
        <v>0</v>
      </c>
      <c r="DT121">
        <v>0</v>
      </c>
      <c r="DU121">
        <v>1</v>
      </c>
      <c r="DV121">
        <v>83</v>
      </c>
      <c r="DW121">
        <v>45</v>
      </c>
      <c r="DX121">
        <v>1</v>
      </c>
      <c r="DY121">
        <v>11</v>
      </c>
      <c r="DZ121">
        <v>0</v>
      </c>
      <c r="EA121">
        <v>0</v>
      </c>
      <c r="EB121">
        <v>10</v>
      </c>
      <c r="EC121">
        <v>2</v>
      </c>
      <c r="ED121">
        <v>2</v>
      </c>
      <c r="EE121">
        <v>0</v>
      </c>
      <c r="EF121">
        <v>0</v>
      </c>
      <c r="EG121">
        <v>19</v>
      </c>
      <c r="EH121">
        <v>45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1</v>
      </c>
      <c r="ET121">
        <v>0</v>
      </c>
      <c r="EU121">
        <v>1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1</v>
      </c>
      <c r="FE121">
        <v>5</v>
      </c>
      <c r="FF121">
        <v>2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3</v>
      </c>
      <c r="FP121">
        <v>5</v>
      </c>
    </row>
    <row r="122" spans="1:172" ht="14.25">
      <c r="A122">
        <v>117</v>
      </c>
      <c r="B122" t="str">
        <f t="shared" si="18"/>
        <v>100704</v>
      </c>
      <c r="C122" t="str">
        <f t="shared" si="19"/>
        <v>Opoczno</v>
      </c>
      <c r="D122" t="str">
        <f t="shared" si="20"/>
        <v>opoczyński</v>
      </c>
      <c r="E122" t="str">
        <f t="shared" si="14"/>
        <v>łódzkie</v>
      </c>
      <c r="F122">
        <v>23</v>
      </c>
      <c r="G122" t="str">
        <f>"Przedszkole Nr 4, ul. Cypriana Kamila Norwida 2, 26-300 Opoczno"</f>
        <v>Przedszkole Nr 4, ul. Cypriana Kamila Norwida 2, 26-300 Opoczno</v>
      </c>
      <c r="H122">
        <v>1417</v>
      </c>
      <c r="I122">
        <v>1417</v>
      </c>
      <c r="J122">
        <v>0</v>
      </c>
      <c r="K122">
        <v>1000</v>
      </c>
      <c r="L122">
        <v>637</v>
      </c>
      <c r="M122">
        <v>363</v>
      </c>
      <c r="N122">
        <v>363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363</v>
      </c>
      <c r="Z122">
        <v>0</v>
      </c>
      <c r="AA122">
        <v>0</v>
      </c>
      <c r="AB122">
        <v>363</v>
      </c>
      <c r="AC122">
        <v>17</v>
      </c>
      <c r="AD122">
        <v>346</v>
      </c>
      <c r="AE122">
        <v>13</v>
      </c>
      <c r="AF122">
        <v>5</v>
      </c>
      <c r="AG122">
        <v>1</v>
      </c>
      <c r="AH122">
        <v>0</v>
      </c>
      <c r="AI122">
        <v>0</v>
      </c>
      <c r="AJ122">
        <v>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13</v>
      </c>
      <c r="AQ122">
        <v>4</v>
      </c>
      <c r="AR122">
        <v>3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1</v>
      </c>
      <c r="BB122">
        <v>4</v>
      </c>
      <c r="BC122">
        <v>40</v>
      </c>
      <c r="BD122">
        <v>23</v>
      </c>
      <c r="BE122">
        <v>4</v>
      </c>
      <c r="BF122">
        <v>1</v>
      </c>
      <c r="BG122">
        <v>0</v>
      </c>
      <c r="BH122">
        <v>4</v>
      </c>
      <c r="BI122">
        <v>3</v>
      </c>
      <c r="BJ122">
        <v>1</v>
      </c>
      <c r="BK122">
        <v>0</v>
      </c>
      <c r="BL122">
        <v>0</v>
      </c>
      <c r="BM122">
        <v>4</v>
      </c>
      <c r="BN122">
        <v>40</v>
      </c>
      <c r="BO122">
        <v>135</v>
      </c>
      <c r="BP122">
        <v>49</v>
      </c>
      <c r="BQ122">
        <v>2</v>
      </c>
      <c r="BR122">
        <v>4</v>
      </c>
      <c r="BS122">
        <v>2</v>
      </c>
      <c r="BT122">
        <v>2</v>
      </c>
      <c r="BU122">
        <v>74</v>
      </c>
      <c r="BV122">
        <v>1</v>
      </c>
      <c r="BW122">
        <v>0</v>
      </c>
      <c r="BX122">
        <v>0</v>
      </c>
      <c r="BY122">
        <v>1</v>
      </c>
      <c r="BZ122">
        <v>135</v>
      </c>
      <c r="CA122">
        <v>6</v>
      </c>
      <c r="CB122">
        <v>2</v>
      </c>
      <c r="CC122">
        <v>0</v>
      </c>
      <c r="CD122">
        <v>0</v>
      </c>
      <c r="CE122">
        <v>0</v>
      </c>
      <c r="CF122">
        <v>0</v>
      </c>
      <c r="CG122">
        <v>2</v>
      </c>
      <c r="CH122">
        <v>0</v>
      </c>
      <c r="CI122">
        <v>1</v>
      </c>
      <c r="CJ122">
        <v>0</v>
      </c>
      <c r="CK122">
        <v>1</v>
      </c>
      <c r="CL122">
        <v>6</v>
      </c>
      <c r="CM122">
        <v>5</v>
      </c>
      <c r="CN122">
        <v>4</v>
      </c>
      <c r="CO122">
        <v>0</v>
      </c>
      <c r="CP122">
        <v>0</v>
      </c>
      <c r="CQ122">
        <v>0</v>
      </c>
      <c r="CR122">
        <v>1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5</v>
      </c>
      <c r="CY122">
        <v>16</v>
      </c>
      <c r="CZ122">
        <v>9</v>
      </c>
      <c r="DA122">
        <v>2</v>
      </c>
      <c r="DB122">
        <v>1</v>
      </c>
      <c r="DC122">
        <v>1</v>
      </c>
      <c r="DD122">
        <v>1</v>
      </c>
      <c r="DE122">
        <v>1</v>
      </c>
      <c r="DF122">
        <v>0</v>
      </c>
      <c r="DG122">
        <v>0</v>
      </c>
      <c r="DH122">
        <v>1</v>
      </c>
      <c r="DI122">
        <v>0</v>
      </c>
      <c r="DJ122">
        <v>16</v>
      </c>
      <c r="DK122">
        <v>96</v>
      </c>
      <c r="DL122">
        <v>72</v>
      </c>
      <c r="DM122">
        <v>18</v>
      </c>
      <c r="DN122">
        <v>0</v>
      </c>
      <c r="DO122">
        <v>0</v>
      </c>
      <c r="DP122">
        <v>3</v>
      </c>
      <c r="DQ122">
        <v>1</v>
      </c>
      <c r="DR122">
        <v>0</v>
      </c>
      <c r="DS122">
        <v>1</v>
      </c>
      <c r="DT122">
        <v>0</v>
      </c>
      <c r="DU122">
        <v>1</v>
      </c>
      <c r="DV122">
        <v>96</v>
      </c>
      <c r="DW122">
        <v>28</v>
      </c>
      <c r="DX122">
        <v>1</v>
      </c>
      <c r="DY122">
        <v>1</v>
      </c>
      <c r="DZ122">
        <v>0</v>
      </c>
      <c r="EA122">
        <v>0</v>
      </c>
      <c r="EB122">
        <v>3</v>
      </c>
      <c r="EC122">
        <v>0</v>
      </c>
      <c r="ED122">
        <v>0</v>
      </c>
      <c r="EE122">
        <v>0</v>
      </c>
      <c r="EF122">
        <v>1</v>
      </c>
      <c r="EG122">
        <v>22</v>
      </c>
      <c r="EH122">
        <v>28</v>
      </c>
      <c r="EI122">
        <v>2</v>
      </c>
      <c r="EJ122">
        <v>0</v>
      </c>
      <c r="EK122">
        <v>1</v>
      </c>
      <c r="EL122">
        <v>0</v>
      </c>
      <c r="EM122">
        <v>0</v>
      </c>
      <c r="EN122">
        <v>0</v>
      </c>
      <c r="EO122">
        <v>1</v>
      </c>
      <c r="EP122">
        <v>0</v>
      </c>
      <c r="EQ122">
        <v>0</v>
      </c>
      <c r="ER122">
        <v>2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1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1</v>
      </c>
      <c r="FP122">
        <v>1</v>
      </c>
    </row>
    <row r="123" spans="1:172" ht="14.25">
      <c r="A123">
        <v>118</v>
      </c>
      <c r="B123" t="str">
        <f t="shared" si="18"/>
        <v>100704</v>
      </c>
      <c r="C123" t="str">
        <f t="shared" si="19"/>
        <v>Opoczno</v>
      </c>
      <c r="D123" t="str">
        <f t="shared" si="20"/>
        <v>opoczyński</v>
      </c>
      <c r="E123" t="str">
        <f t="shared" si="14"/>
        <v>łódzkie</v>
      </c>
      <c r="F123">
        <v>24</v>
      </c>
      <c r="G123" t="str">
        <f>"Ochotnicza Straż Pożarna w Opocznie, Plac Strażacki 1, 26-300 Opoczno"</f>
        <v>Ochotnicza Straż Pożarna w Opocznie, Plac Strażacki 1, 26-300 Opoczno</v>
      </c>
      <c r="H123">
        <v>1203</v>
      </c>
      <c r="I123">
        <v>1203</v>
      </c>
      <c r="J123">
        <v>0</v>
      </c>
      <c r="K123">
        <v>847</v>
      </c>
      <c r="L123">
        <v>626</v>
      </c>
      <c r="M123">
        <v>221</v>
      </c>
      <c r="N123">
        <v>221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221</v>
      </c>
      <c r="Z123">
        <v>0</v>
      </c>
      <c r="AA123">
        <v>0</v>
      </c>
      <c r="AB123">
        <v>221</v>
      </c>
      <c r="AC123">
        <v>28</v>
      </c>
      <c r="AD123">
        <v>193</v>
      </c>
      <c r="AE123">
        <v>4</v>
      </c>
      <c r="AF123">
        <v>3</v>
      </c>
      <c r="AG123">
        <v>0</v>
      </c>
      <c r="AH123">
        <v>0</v>
      </c>
      <c r="AI123">
        <v>0</v>
      </c>
      <c r="AJ123">
        <v>0</v>
      </c>
      <c r="AK123">
        <v>1</v>
      </c>
      <c r="AL123">
        <v>0</v>
      </c>
      <c r="AM123">
        <v>0</v>
      </c>
      <c r="AN123">
        <v>0</v>
      </c>
      <c r="AO123">
        <v>0</v>
      </c>
      <c r="AP123">
        <v>4</v>
      </c>
      <c r="AQ123">
        <v>2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0</v>
      </c>
      <c r="AX123">
        <v>0</v>
      </c>
      <c r="AY123">
        <v>0</v>
      </c>
      <c r="AZ123">
        <v>0</v>
      </c>
      <c r="BA123">
        <v>1</v>
      </c>
      <c r="BB123">
        <v>2</v>
      </c>
      <c r="BC123">
        <v>19</v>
      </c>
      <c r="BD123">
        <v>9</v>
      </c>
      <c r="BE123">
        <v>1</v>
      </c>
      <c r="BF123">
        <v>3</v>
      </c>
      <c r="BG123">
        <v>0</v>
      </c>
      <c r="BH123">
        <v>1</v>
      </c>
      <c r="BI123">
        <v>2</v>
      </c>
      <c r="BJ123">
        <v>0</v>
      </c>
      <c r="BK123">
        <v>1</v>
      </c>
      <c r="BL123">
        <v>0</v>
      </c>
      <c r="BM123">
        <v>2</v>
      </c>
      <c r="BN123">
        <v>19</v>
      </c>
      <c r="BO123">
        <v>102</v>
      </c>
      <c r="BP123">
        <v>53</v>
      </c>
      <c r="BQ123">
        <v>4</v>
      </c>
      <c r="BR123">
        <v>2</v>
      </c>
      <c r="BS123">
        <v>0</v>
      </c>
      <c r="BT123">
        <v>0</v>
      </c>
      <c r="BU123">
        <v>42</v>
      </c>
      <c r="BV123">
        <v>1</v>
      </c>
      <c r="BW123">
        <v>0</v>
      </c>
      <c r="BX123">
        <v>0</v>
      </c>
      <c r="BY123">
        <v>0</v>
      </c>
      <c r="BZ123">
        <v>102</v>
      </c>
      <c r="CA123">
        <v>8</v>
      </c>
      <c r="CB123">
        <v>1</v>
      </c>
      <c r="CC123">
        <v>1</v>
      </c>
      <c r="CD123">
        <v>0</v>
      </c>
      <c r="CE123">
        <v>0</v>
      </c>
      <c r="CF123">
        <v>0</v>
      </c>
      <c r="CG123">
        <v>5</v>
      </c>
      <c r="CH123">
        <v>0</v>
      </c>
      <c r="CI123">
        <v>0</v>
      </c>
      <c r="CJ123">
        <v>0</v>
      </c>
      <c r="CK123">
        <v>1</v>
      </c>
      <c r="CL123">
        <v>8</v>
      </c>
      <c r="CM123">
        <v>3</v>
      </c>
      <c r="CN123">
        <v>2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1</v>
      </c>
      <c r="CX123">
        <v>3</v>
      </c>
      <c r="CY123">
        <v>10</v>
      </c>
      <c r="CZ123">
        <v>4</v>
      </c>
      <c r="DA123">
        <v>1</v>
      </c>
      <c r="DB123">
        <v>0</v>
      </c>
      <c r="DC123">
        <v>1</v>
      </c>
      <c r="DD123">
        <v>0</v>
      </c>
      <c r="DE123">
        <v>0</v>
      </c>
      <c r="DF123">
        <v>3</v>
      </c>
      <c r="DG123">
        <v>1</v>
      </c>
      <c r="DH123">
        <v>0</v>
      </c>
      <c r="DI123">
        <v>0</v>
      </c>
      <c r="DJ123">
        <v>10</v>
      </c>
      <c r="DK123">
        <v>28</v>
      </c>
      <c r="DL123">
        <v>21</v>
      </c>
      <c r="DM123">
        <v>5</v>
      </c>
      <c r="DN123">
        <v>0</v>
      </c>
      <c r="DO123">
        <v>0</v>
      </c>
      <c r="DP123">
        <v>1</v>
      </c>
      <c r="DQ123">
        <v>1</v>
      </c>
      <c r="DR123">
        <v>0</v>
      </c>
      <c r="DS123">
        <v>0</v>
      </c>
      <c r="DT123">
        <v>0</v>
      </c>
      <c r="DU123">
        <v>0</v>
      </c>
      <c r="DV123">
        <v>28</v>
      </c>
      <c r="DW123">
        <v>14</v>
      </c>
      <c r="DX123">
        <v>0</v>
      </c>
      <c r="DY123">
        <v>1</v>
      </c>
      <c r="DZ123">
        <v>0</v>
      </c>
      <c r="EA123">
        <v>0</v>
      </c>
      <c r="EB123">
        <v>3</v>
      </c>
      <c r="EC123">
        <v>1</v>
      </c>
      <c r="ED123">
        <v>0</v>
      </c>
      <c r="EE123">
        <v>1</v>
      </c>
      <c r="EF123">
        <v>0</v>
      </c>
      <c r="EG123">
        <v>8</v>
      </c>
      <c r="EH123">
        <v>14</v>
      </c>
      <c r="EI123">
        <v>1</v>
      </c>
      <c r="EJ123">
        <v>0</v>
      </c>
      <c r="EK123">
        <v>1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1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2</v>
      </c>
      <c r="FF123">
        <v>0</v>
      </c>
      <c r="FG123">
        <v>1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1</v>
      </c>
      <c r="FP123">
        <v>2</v>
      </c>
    </row>
    <row r="124" spans="1:172" ht="14.25">
      <c r="A124">
        <v>119</v>
      </c>
      <c r="B124" t="str">
        <f t="shared" si="18"/>
        <v>100704</v>
      </c>
      <c r="C124" t="str">
        <f t="shared" si="19"/>
        <v>Opoczno</v>
      </c>
      <c r="D124" t="str">
        <f t="shared" si="20"/>
        <v>opoczyński</v>
      </c>
      <c r="E124" t="str">
        <f t="shared" si="14"/>
        <v>łódzkie</v>
      </c>
      <c r="F124">
        <v>25</v>
      </c>
      <c r="G124" t="str">
        <f>"OPTEX S.A., ul. Kolberga 2, 26-300 Opoczno"</f>
        <v>OPTEX S.A., ul. Kolberga 2, 26-300 Opoczno</v>
      </c>
      <c r="H124">
        <v>1231</v>
      </c>
      <c r="I124">
        <v>1231</v>
      </c>
      <c r="J124">
        <v>0</v>
      </c>
      <c r="K124">
        <v>870</v>
      </c>
      <c r="L124">
        <v>546</v>
      </c>
      <c r="M124">
        <v>324</v>
      </c>
      <c r="N124">
        <v>324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324</v>
      </c>
      <c r="Z124">
        <v>0</v>
      </c>
      <c r="AA124">
        <v>0</v>
      </c>
      <c r="AB124">
        <v>324</v>
      </c>
      <c r="AC124">
        <v>11</v>
      </c>
      <c r="AD124">
        <v>313</v>
      </c>
      <c r="AE124">
        <v>13</v>
      </c>
      <c r="AF124">
        <v>0</v>
      </c>
      <c r="AG124">
        <v>4</v>
      </c>
      <c r="AH124">
        <v>0</v>
      </c>
      <c r="AI124">
        <v>0</v>
      </c>
      <c r="AJ124">
        <v>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13</v>
      </c>
      <c r="AQ124">
        <v>9</v>
      </c>
      <c r="AR124">
        <v>8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1</v>
      </c>
      <c r="BA124">
        <v>0</v>
      </c>
      <c r="BB124">
        <v>9</v>
      </c>
      <c r="BC124">
        <v>10</v>
      </c>
      <c r="BD124">
        <v>3</v>
      </c>
      <c r="BE124">
        <v>1</v>
      </c>
      <c r="BF124">
        <v>1</v>
      </c>
      <c r="BG124">
        <v>0</v>
      </c>
      <c r="BH124">
        <v>3</v>
      </c>
      <c r="BI124">
        <v>0</v>
      </c>
      <c r="BJ124">
        <v>0</v>
      </c>
      <c r="BK124">
        <v>0</v>
      </c>
      <c r="BL124">
        <v>1</v>
      </c>
      <c r="BM124">
        <v>1</v>
      </c>
      <c r="BN124">
        <v>10</v>
      </c>
      <c r="BO124">
        <v>156</v>
      </c>
      <c r="BP124">
        <v>77</v>
      </c>
      <c r="BQ124">
        <v>1</v>
      </c>
      <c r="BR124">
        <v>9</v>
      </c>
      <c r="BS124">
        <v>0</v>
      </c>
      <c r="BT124">
        <v>2</v>
      </c>
      <c r="BU124">
        <v>66</v>
      </c>
      <c r="BV124">
        <v>1</v>
      </c>
      <c r="BW124">
        <v>0</v>
      </c>
      <c r="BX124">
        <v>0</v>
      </c>
      <c r="BY124">
        <v>0</v>
      </c>
      <c r="BZ124">
        <v>156</v>
      </c>
      <c r="CA124">
        <v>14</v>
      </c>
      <c r="CB124">
        <v>6</v>
      </c>
      <c r="CC124">
        <v>2</v>
      </c>
      <c r="CD124">
        <v>2</v>
      </c>
      <c r="CE124">
        <v>0</v>
      </c>
      <c r="CF124">
        <v>0</v>
      </c>
      <c r="CG124">
        <v>1</v>
      </c>
      <c r="CH124">
        <v>1</v>
      </c>
      <c r="CI124">
        <v>1</v>
      </c>
      <c r="CJ124">
        <v>1</v>
      </c>
      <c r="CK124">
        <v>0</v>
      </c>
      <c r="CL124">
        <v>14</v>
      </c>
      <c r="CM124">
        <v>7</v>
      </c>
      <c r="CN124">
        <v>6</v>
      </c>
      <c r="CO124">
        <v>0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7</v>
      </c>
      <c r="CY124">
        <v>19</v>
      </c>
      <c r="CZ124">
        <v>13</v>
      </c>
      <c r="DA124">
        <v>0</v>
      </c>
      <c r="DB124">
        <v>0</v>
      </c>
      <c r="DC124">
        <v>0</v>
      </c>
      <c r="DD124">
        <v>0</v>
      </c>
      <c r="DE124">
        <v>1</v>
      </c>
      <c r="DF124">
        <v>0</v>
      </c>
      <c r="DG124">
        <v>3</v>
      </c>
      <c r="DH124">
        <v>1</v>
      </c>
      <c r="DI124">
        <v>1</v>
      </c>
      <c r="DJ124">
        <v>19</v>
      </c>
      <c r="DK124">
        <v>59</v>
      </c>
      <c r="DL124">
        <v>43</v>
      </c>
      <c r="DM124">
        <v>11</v>
      </c>
      <c r="DN124">
        <v>0</v>
      </c>
      <c r="DO124">
        <v>0</v>
      </c>
      <c r="DP124">
        <v>0</v>
      </c>
      <c r="DQ124">
        <v>0</v>
      </c>
      <c r="DR124">
        <v>3</v>
      </c>
      <c r="DS124">
        <v>2</v>
      </c>
      <c r="DT124">
        <v>0</v>
      </c>
      <c r="DU124">
        <v>0</v>
      </c>
      <c r="DV124">
        <v>59</v>
      </c>
      <c r="DW124">
        <v>26</v>
      </c>
      <c r="DX124">
        <v>1</v>
      </c>
      <c r="DY124">
        <v>4</v>
      </c>
      <c r="DZ124">
        <v>0</v>
      </c>
      <c r="EA124">
        <v>0</v>
      </c>
      <c r="EB124">
        <v>8</v>
      </c>
      <c r="EC124">
        <v>1</v>
      </c>
      <c r="ED124">
        <v>0</v>
      </c>
      <c r="EE124">
        <v>0</v>
      </c>
      <c r="EF124">
        <v>0</v>
      </c>
      <c r="EG124">
        <v>12</v>
      </c>
      <c r="EH124">
        <v>26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</row>
    <row r="125" spans="1:172" ht="14.25">
      <c r="A125">
        <v>120</v>
      </c>
      <c r="B125" t="str">
        <f t="shared" si="18"/>
        <v>100704</v>
      </c>
      <c r="C125" t="str">
        <f t="shared" si="19"/>
        <v>Opoczno</v>
      </c>
      <c r="D125" t="str">
        <f t="shared" si="20"/>
        <v>opoczyński</v>
      </c>
      <c r="E125" t="str">
        <f t="shared" si="14"/>
        <v>łódzkie</v>
      </c>
      <c r="F125">
        <v>26</v>
      </c>
      <c r="G125" t="str">
        <f>"Szpital Powiatowy w Opocznie, ul. Partyzantów 30, 26-300 Opoczno"</f>
        <v>Szpital Powiatowy w Opocznie, ul. Partyzantów 30, 26-300 Opoczno</v>
      </c>
      <c r="H125">
        <v>20</v>
      </c>
      <c r="I125">
        <v>20</v>
      </c>
      <c r="J125">
        <v>0</v>
      </c>
      <c r="K125">
        <v>50</v>
      </c>
      <c r="L125">
        <v>41</v>
      </c>
      <c r="M125">
        <v>9</v>
      </c>
      <c r="N125">
        <v>9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9</v>
      </c>
      <c r="Z125">
        <v>0</v>
      </c>
      <c r="AA125">
        <v>0</v>
      </c>
      <c r="AB125">
        <v>9</v>
      </c>
      <c r="AC125">
        <v>0</v>
      </c>
      <c r="AD125">
        <v>9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1</v>
      </c>
      <c r="BD125">
        <v>1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1</v>
      </c>
      <c r="BO125">
        <v>3</v>
      </c>
      <c r="BP125">
        <v>1</v>
      </c>
      <c r="BQ125">
        <v>0</v>
      </c>
      <c r="BR125">
        <v>1</v>
      </c>
      <c r="BS125">
        <v>0</v>
      </c>
      <c r="BT125">
        <v>0</v>
      </c>
      <c r="BU125">
        <v>1</v>
      </c>
      <c r="BV125">
        <v>0</v>
      </c>
      <c r="BW125">
        <v>0</v>
      </c>
      <c r="BX125">
        <v>0</v>
      </c>
      <c r="BY125">
        <v>0</v>
      </c>
      <c r="BZ125">
        <v>3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2</v>
      </c>
      <c r="DL125">
        <v>2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2</v>
      </c>
      <c r="DW125">
        <v>1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1</v>
      </c>
      <c r="EH125">
        <v>1</v>
      </c>
      <c r="EI125">
        <v>1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1</v>
      </c>
      <c r="ER125">
        <v>1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1</v>
      </c>
      <c r="FF125">
        <v>0</v>
      </c>
      <c r="FG125">
        <v>0</v>
      </c>
      <c r="FH125">
        <v>0</v>
      </c>
      <c r="FI125">
        <v>0</v>
      </c>
      <c r="FJ125">
        <v>1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1</v>
      </c>
    </row>
    <row r="126" spans="1:172" ht="14.25">
      <c r="A126">
        <v>121</v>
      </c>
      <c r="B126" t="str">
        <f>"100705"</f>
        <v>100705</v>
      </c>
      <c r="C126" t="str">
        <f>"Paradyż"</f>
        <v>Paradyż</v>
      </c>
      <c r="D126" t="str">
        <f t="shared" si="20"/>
        <v>opoczyński</v>
      </c>
      <c r="E126" t="str">
        <f t="shared" si="14"/>
        <v>łódzkie</v>
      </c>
      <c r="F126">
        <v>1</v>
      </c>
      <c r="G126" t="str">
        <f>"Szkoła Podstawowa w Wójcinie, Wójcin A 16, 26-333 Paradyż"</f>
        <v>Szkoła Podstawowa w Wójcinie, Wójcin A 16, 26-333 Paradyż</v>
      </c>
      <c r="H126">
        <v>918</v>
      </c>
      <c r="I126">
        <v>918</v>
      </c>
      <c r="J126">
        <v>0</v>
      </c>
      <c r="K126">
        <v>640</v>
      </c>
      <c r="L126">
        <v>398</v>
      </c>
      <c r="M126">
        <v>242</v>
      </c>
      <c r="N126">
        <v>242</v>
      </c>
      <c r="O126">
        <v>0</v>
      </c>
      <c r="P126">
        <v>0</v>
      </c>
      <c r="Q126">
        <v>6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242</v>
      </c>
      <c r="Z126">
        <v>0</v>
      </c>
      <c r="AA126">
        <v>0</v>
      </c>
      <c r="AB126">
        <v>242</v>
      </c>
      <c r="AC126">
        <v>12</v>
      </c>
      <c r="AD126">
        <v>230</v>
      </c>
      <c r="AE126">
        <v>25</v>
      </c>
      <c r="AF126">
        <v>7</v>
      </c>
      <c r="AG126">
        <v>4</v>
      </c>
      <c r="AH126">
        <v>0</v>
      </c>
      <c r="AI126">
        <v>2</v>
      </c>
      <c r="AJ126">
        <v>10</v>
      </c>
      <c r="AK126">
        <v>1</v>
      </c>
      <c r="AL126">
        <v>1</v>
      </c>
      <c r="AM126">
        <v>0</v>
      </c>
      <c r="AN126">
        <v>0</v>
      </c>
      <c r="AO126">
        <v>0</v>
      </c>
      <c r="AP126">
        <v>25</v>
      </c>
      <c r="AQ126">
        <v>1</v>
      </c>
      <c r="AR126">
        <v>0</v>
      </c>
      <c r="AS126">
        <v>1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1</v>
      </c>
      <c r="BC126">
        <v>4</v>
      </c>
      <c r="BD126">
        <v>1</v>
      </c>
      <c r="BE126">
        <v>1</v>
      </c>
      <c r="BF126">
        <v>0</v>
      </c>
      <c r="BG126">
        <v>0</v>
      </c>
      <c r="BH126">
        <v>0</v>
      </c>
      <c r="BI126">
        <v>1</v>
      </c>
      <c r="BJ126">
        <v>0</v>
      </c>
      <c r="BK126">
        <v>0</v>
      </c>
      <c r="BL126">
        <v>0</v>
      </c>
      <c r="BM126">
        <v>1</v>
      </c>
      <c r="BN126">
        <v>4</v>
      </c>
      <c r="BO126">
        <v>140</v>
      </c>
      <c r="BP126">
        <v>106</v>
      </c>
      <c r="BQ126">
        <v>1</v>
      </c>
      <c r="BR126">
        <v>1</v>
      </c>
      <c r="BS126">
        <v>0</v>
      </c>
      <c r="BT126">
        <v>0</v>
      </c>
      <c r="BU126">
        <v>32</v>
      </c>
      <c r="BV126">
        <v>0</v>
      </c>
      <c r="BW126">
        <v>0</v>
      </c>
      <c r="BX126">
        <v>0</v>
      </c>
      <c r="BY126">
        <v>0</v>
      </c>
      <c r="BZ126">
        <v>140</v>
      </c>
      <c r="CA126">
        <v>6</v>
      </c>
      <c r="CB126">
        <v>1</v>
      </c>
      <c r="CC126">
        <v>0</v>
      </c>
      <c r="CD126">
        <v>0</v>
      </c>
      <c r="CE126">
        <v>0</v>
      </c>
      <c r="CF126">
        <v>0</v>
      </c>
      <c r="CG126">
        <v>5</v>
      </c>
      <c r="CH126">
        <v>0</v>
      </c>
      <c r="CI126">
        <v>0</v>
      </c>
      <c r="CJ126">
        <v>0</v>
      </c>
      <c r="CK126">
        <v>0</v>
      </c>
      <c r="CL126">
        <v>6</v>
      </c>
      <c r="CM126">
        <v>1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1</v>
      </c>
      <c r="CY126">
        <v>6</v>
      </c>
      <c r="CZ126">
        <v>4</v>
      </c>
      <c r="DA126">
        <v>2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6</v>
      </c>
      <c r="DK126">
        <v>2</v>
      </c>
      <c r="DL126">
        <v>2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2</v>
      </c>
      <c r="DW126">
        <v>45</v>
      </c>
      <c r="DX126">
        <v>1</v>
      </c>
      <c r="DY126">
        <v>1</v>
      </c>
      <c r="DZ126">
        <v>0</v>
      </c>
      <c r="EA126">
        <v>0</v>
      </c>
      <c r="EB126">
        <v>1</v>
      </c>
      <c r="EC126">
        <v>0</v>
      </c>
      <c r="ED126">
        <v>0</v>
      </c>
      <c r="EE126">
        <v>0</v>
      </c>
      <c r="EF126">
        <v>0</v>
      </c>
      <c r="EG126">
        <v>42</v>
      </c>
      <c r="EH126">
        <v>45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</row>
    <row r="127" spans="1:172" ht="14.25">
      <c r="A127">
        <v>122</v>
      </c>
      <c r="B127" t="str">
        <f>"100705"</f>
        <v>100705</v>
      </c>
      <c r="C127" t="str">
        <f>"Paradyż"</f>
        <v>Paradyż</v>
      </c>
      <c r="D127" t="str">
        <f t="shared" si="20"/>
        <v>opoczyński</v>
      </c>
      <c r="E127" t="str">
        <f t="shared" si="14"/>
        <v>łódzkie</v>
      </c>
      <c r="F127">
        <v>2</v>
      </c>
      <c r="G127" t="str">
        <f>"Budynek Zespołu Szkół Samorządowych w Paradyżu, Przedborska 29, 26-333 Paradyż"</f>
        <v>Budynek Zespołu Szkół Samorządowych w Paradyżu, Przedborska 29, 26-333 Paradyż</v>
      </c>
      <c r="H127">
        <v>1096</v>
      </c>
      <c r="I127">
        <v>1096</v>
      </c>
      <c r="J127">
        <v>0</v>
      </c>
      <c r="K127">
        <v>770</v>
      </c>
      <c r="L127">
        <v>386</v>
      </c>
      <c r="M127">
        <v>384</v>
      </c>
      <c r="N127">
        <v>384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384</v>
      </c>
      <c r="Z127">
        <v>0</v>
      </c>
      <c r="AA127">
        <v>0</v>
      </c>
      <c r="AB127">
        <v>384</v>
      </c>
      <c r="AC127">
        <v>3</v>
      </c>
      <c r="AD127">
        <v>381</v>
      </c>
      <c r="AE127">
        <v>5</v>
      </c>
      <c r="AF127">
        <v>4</v>
      </c>
      <c r="AG127">
        <v>0</v>
      </c>
      <c r="AH127">
        <v>1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5</v>
      </c>
      <c r="AQ127">
        <v>5</v>
      </c>
      <c r="AR127">
        <v>5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5</v>
      </c>
      <c r="BC127">
        <v>10</v>
      </c>
      <c r="BD127">
        <v>8</v>
      </c>
      <c r="BE127">
        <v>0</v>
      </c>
      <c r="BF127">
        <v>1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1</v>
      </c>
      <c r="BN127">
        <v>10</v>
      </c>
      <c r="BO127">
        <v>141</v>
      </c>
      <c r="BP127">
        <v>100</v>
      </c>
      <c r="BQ127">
        <v>2</v>
      </c>
      <c r="BR127">
        <v>3</v>
      </c>
      <c r="BS127">
        <v>2</v>
      </c>
      <c r="BT127">
        <v>1</v>
      </c>
      <c r="BU127">
        <v>32</v>
      </c>
      <c r="BV127">
        <v>0</v>
      </c>
      <c r="BW127">
        <v>0</v>
      </c>
      <c r="BX127">
        <v>0</v>
      </c>
      <c r="BY127">
        <v>1</v>
      </c>
      <c r="BZ127">
        <v>141</v>
      </c>
      <c r="CA127">
        <v>13</v>
      </c>
      <c r="CB127">
        <v>4</v>
      </c>
      <c r="CC127">
        <v>0</v>
      </c>
      <c r="CD127">
        <v>0</v>
      </c>
      <c r="CE127">
        <v>0</v>
      </c>
      <c r="CF127">
        <v>0</v>
      </c>
      <c r="CG127">
        <v>9</v>
      </c>
      <c r="CH127">
        <v>0</v>
      </c>
      <c r="CI127">
        <v>0</v>
      </c>
      <c r="CJ127">
        <v>0</v>
      </c>
      <c r="CK127">
        <v>0</v>
      </c>
      <c r="CL127">
        <v>13</v>
      </c>
      <c r="CM127">
        <v>1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1</v>
      </c>
      <c r="CY127">
        <v>12</v>
      </c>
      <c r="CZ127">
        <v>9</v>
      </c>
      <c r="DA127">
        <v>0</v>
      </c>
      <c r="DB127">
        <v>0</v>
      </c>
      <c r="DC127">
        <v>2</v>
      </c>
      <c r="DD127">
        <v>1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12</v>
      </c>
      <c r="DK127">
        <v>15</v>
      </c>
      <c r="DL127">
        <v>13</v>
      </c>
      <c r="DM127">
        <v>0</v>
      </c>
      <c r="DN127">
        <v>0</v>
      </c>
      <c r="DO127">
        <v>0</v>
      </c>
      <c r="DP127">
        <v>0</v>
      </c>
      <c r="DQ127">
        <v>1</v>
      </c>
      <c r="DR127">
        <v>0</v>
      </c>
      <c r="DS127">
        <v>0</v>
      </c>
      <c r="DT127">
        <v>0</v>
      </c>
      <c r="DU127">
        <v>1</v>
      </c>
      <c r="DV127">
        <v>15</v>
      </c>
      <c r="DW127">
        <v>179</v>
      </c>
      <c r="DX127">
        <v>1</v>
      </c>
      <c r="DY127">
        <v>1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177</v>
      </c>
      <c r="EH127">
        <v>179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</row>
    <row r="128" spans="1:172" ht="14.25">
      <c r="A128">
        <v>123</v>
      </c>
      <c r="B128" t="str">
        <f>"100705"</f>
        <v>100705</v>
      </c>
      <c r="C128" t="str">
        <f>"Paradyż"</f>
        <v>Paradyż</v>
      </c>
      <c r="D128" t="str">
        <f t="shared" si="20"/>
        <v>opoczyński</v>
      </c>
      <c r="E128" t="str">
        <f t="shared" si="14"/>
        <v>łódzkie</v>
      </c>
      <c r="F128">
        <v>3</v>
      </c>
      <c r="G128" t="str">
        <f>"Budynek Zespołu Szkół Samorządowych w Paradyżu, Przedborska 29, 26-333 Paradyż"</f>
        <v>Budynek Zespołu Szkół Samorządowych w Paradyżu, Przedborska 29, 26-333 Paradyż</v>
      </c>
      <c r="H128">
        <v>965</v>
      </c>
      <c r="I128">
        <v>965</v>
      </c>
      <c r="J128">
        <v>0</v>
      </c>
      <c r="K128">
        <v>680</v>
      </c>
      <c r="L128">
        <v>450</v>
      </c>
      <c r="M128">
        <v>230</v>
      </c>
      <c r="N128">
        <v>230</v>
      </c>
      <c r="O128">
        <v>0</v>
      </c>
      <c r="P128">
        <v>0</v>
      </c>
      <c r="Q128">
        <v>3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229</v>
      </c>
      <c r="Z128">
        <v>0</v>
      </c>
      <c r="AA128">
        <v>0</v>
      </c>
      <c r="AB128">
        <v>229</v>
      </c>
      <c r="AC128">
        <v>3</v>
      </c>
      <c r="AD128">
        <v>226</v>
      </c>
      <c r="AE128">
        <v>2</v>
      </c>
      <c r="AF128">
        <v>1</v>
      </c>
      <c r="AG128">
        <v>1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2</v>
      </c>
      <c r="AQ128">
        <v>1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1</v>
      </c>
      <c r="BC128">
        <v>2</v>
      </c>
      <c r="BD128">
        <v>1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1</v>
      </c>
      <c r="BM128">
        <v>0</v>
      </c>
      <c r="BN128">
        <v>2</v>
      </c>
      <c r="BO128">
        <v>128</v>
      </c>
      <c r="BP128">
        <v>89</v>
      </c>
      <c r="BQ128">
        <v>2</v>
      </c>
      <c r="BR128">
        <v>2</v>
      </c>
      <c r="BS128">
        <v>0</v>
      </c>
      <c r="BT128">
        <v>0</v>
      </c>
      <c r="BU128">
        <v>35</v>
      </c>
      <c r="BV128">
        <v>0</v>
      </c>
      <c r="BW128">
        <v>0</v>
      </c>
      <c r="BX128">
        <v>0</v>
      </c>
      <c r="BY128">
        <v>0</v>
      </c>
      <c r="BZ128">
        <v>128</v>
      </c>
      <c r="CA128">
        <v>4</v>
      </c>
      <c r="CB128">
        <v>0</v>
      </c>
      <c r="CC128">
        <v>0</v>
      </c>
      <c r="CD128">
        <v>1</v>
      </c>
      <c r="CE128">
        <v>0</v>
      </c>
      <c r="CF128">
        <v>0</v>
      </c>
      <c r="CG128">
        <v>3</v>
      </c>
      <c r="CH128">
        <v>0</v>
      </c>
      <c r="CI128">
        <v>0</v>
      </c>
      <c r="CJ128">
        <v>0</v>
      </c>
      <c r="CK128">
        <v>0</v>
      </c>
      <c r="CL128">
        <v>4</v>
      </c>
      <c r="CM128">
        <v>2</v>
      </c>
      <c r="CN128">
        <v>1</v>
      </c>
      <c r="CO128">
        <v>0</v>
      </c>
      <c r="CP128">
        <v>1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2</v>
      </c>
      <c r="CY128">
        <v>11</v>
      </c>
      <c r="CZ128">
        <v>8</v>
      </c>
      <c r="DA128">
        <v>0</v>
      </c>
      <c r="DB128">
        <v>1</v>
      </c>
      <c r="DC128">
        <v>1</v>
      </c>
      <c r="DD128">
        <v>0</v>
      </c>
      <c r="DE128">
        <v>0</v>
      </c>
      <c r="DF128">
        <v>0</v>
      </c>
      <c r="DG128">
        <v>1</v>
      </c>
      <c r="DH128">
        <v>0</v>
      </c>
      <c r="DI128">
        <v>0</v>
      </c>
      <c r="DJ128">
        <v>11</v>
      </c>
      <c r="DK128">
        <v>2</v>
      </c>
      <c r="DL128">
        <v>1</v>
      </c>
      <c r="DM128">
        <v>0</v>
      </c>
      <c r="DN128">
        <v>1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2</v>
      </c>
      <c r="DW128">
        <v>74</v>
      </c>
      <c r="DX128">
        <v>3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1</v>
      </c>
      <c r="EG128">
        <v>70</v>
      </c>
      <c r="EH128">
        <v>74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</row>
    <row r="129" spans="1:172" ht="14.25">
      <c r="A129">
        <v>124</v>
      </c>
      <c r="B129" t="str">
        <f>"100705"</f>
        <v>100705</v>
      </c>
      <c r="C129" t="str">
        <f>"Paradyż"</f>
        <v>Paradyż</v>
      </c>
      <c r="D129" t="str">
        <f t="shared" si="20"/>
        <v>opoczyński</v>
      </c>
      <c r="E129" t="str">
        <f t="shared" si="14"/>
        <v>łódzkie</v>
      </c>
      <c r="F129">
        <v>4</v>
      </c>
      <c r="G129" t="str">
        <f>"Budynek świetlicy wiejskiej w Stawowicach, Stawowice 39, 26-333 Paradyż"</f>
        <v>Budynek świetlicy wiejskiej w Stawowicach, Stawowice 39, 26-333 Paradyż</v>
      </c>
      <c r="H129">
        <v>588</v>
      </c>
      <c r="I129">
        <v>588</v>
      </c>
      <c r="J129">
        <v>0</v>
      </c>
      <c r="K129">
        <v>460</v>
      </c>
      <c r="L129">
        <v>318</v>
      </c>
      <c r="M129">
        <v>142</v>
      </c>
      <c r="N129">
        <v>142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142</v>
      </c>
      <c r="Z129">
        <v>0</v>
      </c>
      <c r="AA129">
        <v>0</v>
      </c>
      <c r="AB129">
        <v>142</v>
      </c>
      <c r="AC129">
        <v>15</v>
      </c>
      <c r="AD129">
        <v>127</v>
      </c>
      <c r="AE129">
        <v>2</v>
      </c>
      <c r="AF129">
        <v>0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O129">
        <v>0</v>
      </c>
      <c r="AP129">
        <v>2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69</v>
      </c>
      <c r="BP129">
        <v>45</v>
      </c>
      <c r="BQ129">
        <v>4</v>
      </c>
      <c r="BR129">
        <v>1</v>
      </c>
      <c r="BS129">
        <v>1</v>
      </c>
      <c r="BT129">
        <v>0</v>
      </c>
      <c r="BU129">
        <v>17</v>
      </c>
      <c r="BV129">
        <v>0</v>
      </c>
      <c r="BW129">
        <v>0</v>
      </c>
      <c r="BX129">
        <v>0</v>
      </c>
      <c r="BY129">
        <v>1</v>
      </c>
      <c r="BZ129">
        <v>69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3</v>
      </c>
      <c r="CZ129">
        <v>3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3</v>
      </c>
      <c r="DK129">
        <v>1</v>
      </c>
      <c r="DL129">
        <v>1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1</v>
      </c>
      <c r="DW129">
        <v>52</v>
      </c>
      <c r="DX129">
        <v>0</v>
      </c>
      <c r="DY129">
        <v>1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1</v>
      </c>
      <c r="EG129">
        <v>50</v>
      </c>
      <c r="EH129">
        <v>52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</row>
    <row r="130" spans="1:172" ht="14.25">
      <c r="A130">
        <v>125</v>
      </c>
      <c r="B130" t="str">
        <f>"100706"</f>
        <v>100706</v>
      </c>
      <c r="C130" t="str">
        <f>"Poświętne"</f>
        <v>Poświętne</v>
      </c>
      <c r="D130" t="str">
        <f t="shared" si="20"/>
        <v>opoczyński</v>
      </c>
      <c r="E130" t="str">
        <f t="shared" si="14"/>
        <v>łódzkie</v>
      </c>
      <c r="F130">
        <v>1</v>
      </c>
      <c r="G130" t="str">
        <f>"Zespół Szkół Samorządowych w Poświętnem, ul. Szkolna 2a, 26-315 Poświętne"</f>
        <v>Zespół Szkół Samorządowych w Poświętnem, ul. Szkolna 2a, 26-315 Poświętne</v>
      </c>
      <c r="H130">
        <v>1075</v>
      </c>
      <c r="I130">
        <v>1075</v>
      </c>
      <c r="J130">
        <v>0</v>
      </c>
      <c r="K130">
        <v>740</v>
      </c>
      <c r="L130">
        <v>503</v>
      </c>
      <c r="M130">
        <v>237</v>
      </c>
      <c r="N130">
        <v>237</v>
      </c>
      <c r="O130">
        <v>0</v>
      </c>
      <c r="P130">
        <v>0</v>
      </c>
      <c r="Q130">
        <v>6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237</v>
      </c>
      <c r="Z130">
        <v>0</v>
      </c>
      <c r="AA130">
        <v>0</v>
      </c>
      <c r="AB130">
        <v>237</v>
      </c>
      <c r="AC130">
        <v>7</v>
      </c>
      <c r="AD130">
        <v>230</v>
      </c>
      <c r="AE130">
        <v>4</v>
      </c>
      <c r="AF130">
        <v>1</v>
      </c>
      <c r="AG130">
        <v>0</v>
      </c>
      <c r="AH130">
        <v>0</v>
      </c>
      <c r="AI130">
        <v>0</v>
      </c>
      <c r="AJ130">
        <v>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4</v>
      </c>
      <c r="AQ130">
        <v>1</v>
      </c>
      <c r="AR130">
        <v>0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1</v>
      </c>
      <c r="BC130">
        <v>28</v>
      </c>
      <c r="BD130">
        <v>5</v>
      </c>
      <c r="BE130">
        <v>0</v>
      </c>
      <c r="BF130">
        <v>0</v>
      </c>
      <c r="BG130">
        <v>0</v>
      </c>
      <c r="BH130">
        <v>6</v>
      </c>
      <c r="BI130">
        <v>0</v>
      </c>
      <c r="BJ130">
        <v>0</v>
      </c>
      <c r="BK130">
        <v>1</v>
      </c>
      <c r="BL130">
        <v>0</v>
      </c>
      <c r="BM130">
        <v>16</v>
      </c>
      <c r="BN130">
        <v>28</v>
      </c>
      <c r="BO130">
        <v>122</v>
      </c>
      <c r="BP130">
        <v>64</v>
      </c>
      <c r="BQ130">
        <v>4</v>
      </c>
      <c r="BR130">
        <v>2</v>
      </c>
      <c r="BS130">
        <v>2</v>
      </c>
      <c r="BT130">
        <v>0</v>
      </c>
      <c r="BU130">
        <v>48</v>
      </c>
      <c r="BV130">
        <v>1</v>
      </c>
      <c r="BW130">
        <v>1</v>
      </c>
      <c r="BX130">
        <v>0</v>
      </c>
      <c r="BY130">
        <v>0</v>
      </c>
      <c r="BZ130">
        <v>122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4</v>
      </c>
      <c r="CN130">
        <v>2</v>
      </c>
      <c r="CO130">
        <v>1</v>
      </c>
      <c r="CP130">
        <v>0</v>
      </c>
      <c r="CQ130">
        <v>1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4</v>
      </c>
      <c r="CY130">
        <v>11</v>
      </c>
      <c r="CZ130">
        <v>7</v>
      </c>
      <c r="DA130">
        <v>0</v>
      </c>
      <c r="DB130">
        <v>0</v>
      </c>
      <c r="DC130">
        <v>0</v>
      </c>
      <c r="DD130">
        <v>1</v>
      </c>
      <c r="DE130">
        <v>0</v>
      </c>
      <c r="DF130">
        <v>1</v>
      </c>
      <c r="DG130">
        <v>0</v>
      </c>
      <c r="DH130">
        <v>1</v>
      </c>
      <c r="DI130">
        <v>1</v>
      </c>
      <c r="DJ130">
        <v>11</v>
      </c>
      <c r="DK130">
        <v>31</v>
      </c>
      <c r="DL130">
        <v>19</v>
      </c>
      <c r="DM130">
        <v>5</v>
      </c>
      <c r="DN130">
        <v>0</v>
      </c>
      <c r="DO130">
        <v>0</v>
      </c>
      <c r="DP130">
        <v>4</v>
      </c>
      <c r="DQ130">
        <v>0</v>
      </c>
      <c r="DR130">
        <v>1</v>
      </c>
      <c r="DS130">
        <v>1</v>
      </c>
      <c r="DT130">
        <v>0</v>
      </c>
      <c r="DU130">
        <v>1</v>
      </c>
      <c r="DV130">
        <v>31</v>
      </c>
      <c r="DW130">
        <v>26</v>
      </c>
      <c r="DX130">
        <v>1</v>
      </c>
      <c r="DY130">
        <v>7</v>
      </c>
      <c r="DZ130">
        <v>1</v>
      </c>
      <c r="EA130">
        <v>1</v>
      </c>
      <c r="EB130">
        <v>7</v>
      </c>
      <c r="EC130">
        <v>2</v>
      </c>
      <c r="ED130">
        <v>1</v>
      </c>
      <c r="EE130">
        <v>0</v>
      </c>
      <c r="EF130">
        <v>1</v>
      </c>
      <c r="EG130">
        <v>5</v>
      </c>
      <c r="EH130">
        <v>26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2</v>
      </c>
      <c r="ET130">
        <v>0</v>
      </c>
      <c r="EU130">
        <v>1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1</v>
      </c>
      <c r="FD130">
        <v>2</v>
      </c>
      <c r="FE130">
        <v>1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1</v>
      </c>
      <c r="FO130">
        <v>0</v>
      </c>
      <c r="FP130">
        <v>1</v>
      </c>
    </row>
    <row r="131" spans="1:172" ht="14.25">
      <c r="A131">
        <v>126</v>
      </c>
      <c r="B131" t="str">
        <f>"100706"</f>
        <v>100706</v>
      </c>
      <c r="C131" t="str">
        <f>"Poświętne"</f>
        <v>Poświętne</v>
      </c>
      <c r="D131" t="str">
        <f t="shared" si="20"/>
        <v>opoczyński</v>
      </c>
      <c r="E131" t="str">
        <f t="shared" si="14"/>
        <v>łódzkie</v>
      </c>
      <c r="F131">
        <v>2</v>
      </c>
      <c r="G131" t="str">
        <f>"Szkoła Podstawowa w Dębie, Dęba 80, 26-315 Poświętne"</f>
        <v>Szkoła Podstawowa w Dębie, Dęba 80, 26-315 Poświętne</v>
      </c>
      <c r="H131">
        <v>727</v>
      </c>
      <c r="I131">
        <v>727</v>
      </c>
      <c r="J131">
        <v>0</v>
      </c>
      <c r="K131">
        <v>510</v>
      </c>
      <c r="L131">
        <v>323</v>
      </c>
      <c r="M131">
        <v>187</v>
      </c>
      <c r="N131">
        <v>187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187</v>
      </c>
      <c r="Z131">
        <v>0</v>
      </c>
      <c r="AA131">
        <v>0</v>
      </c>
      <c r="AB131">
        <v>187</v>
      </c>
      <c r="AC131">
        <v>5</v>
      </c>
      <c r="AD131">
        <v>182</v>
      </c>
      <c r="AE131">
        <v>4</v>
      </c>
      <c r="AF131">
        <v>2</v>
      </c>
      <c r="AG131">
        <v>1</v>
      </c>
      <c r="AH131">
        <v>0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4</v>
      </c>
      <c r="AQ131">
        <v>5</v>
      </c>
      <c r="AR131">
        <v>3</v>
      </c>
      <c r="AS131">
        <v>1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1</v>
      </c>
      <c r="BB131">
        <v>5</v>
      </c>
      <c r="BC131">
        <v>1</v>
      </c>
      <c r="BD131">
        <v>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1</v>
      </c>
      <c r="BO131">
        <v>123</v>
      </c>
      <c r="BP131">
        <v>65</v>
      </c>
      <c r="BQ131">
        <v>1</v>
      </c>
      <c r="BR131">
        <v>1</v>
      </c>
      <c r="BS131">
        <v>3</v>
      </c>
      <c r="BT131">
        <v>0</v>
      </c>
      <c r="BU131">
        <v>53</v>
      </c>
      <c r="BV131">
        <v>0</v>
      </c>
      <c r="BW131">
        <v>0</v>
      </c>
      <c r="BX131">
        <v>0</v>
      </c>
      <c r="BY131">
        <v>0</v>
      </c>
      <c r="BZ131">
        <v>123</v>
      </c>
      <c r="CA131">
        <v>3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1</v>
      </c>
      <c r="CH131">
        <v>0</v>
      </c>
      <c r="CI131">
        <v>0</v>
      </c>
      <c r="CJ131">
        <v>2</v>
      </c>
      <c r="CK131">
        <v>0</v>
      </c>
      <c r="CL131">
        <v>3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17</v>
      </c>
      <c r="CZ131">
        <v>7</v>
      </c>
      <c r="DA131">
        <v>1</v>
      </c>
      <c r="DB131">
        <v>2</v>
      </c>
      <c r="DC131">
        <v>2</v>
      </c>
      <c r="DD131">
        <v>2</v>
      </c>
      <c r="DE131">
        <v>0</v>
      </c>
      <c r="DF131">
        <v>2</v>
      </c>
      <c r="DG131">
        <v>0</v>
      </c>
      <c r="DH131">
        <v>0</v>
      </c>
      <c r="DI131">
        <v>1</v>
      </c>
      <c r="DJ131">
        <v>17</v>
      </c>
      <c r="DK131">
        <v>8</v>
      </c>
      <c r="DL131">
        <v>2</v>
      </c>
      <c r="DM131">
        <v>3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3</v>
      </c>
      <c r="DV131">
        <v>8</v>
      </c>
      <c r="DW131">
        <v>20</v>
      </c>
      <c r="DX131">
        <v>0</v>
      </c>
      <c r="DY131">
        <v>5</v>
      </c>
      <c r="DZ131">
        <v>0</v>
      </c>
      <c r="EA131">
        <v>0</v>
      </c>
      <c r="EB131">
        <v>3</v>
      </c>
      <c r="EC131">
        <v>1</v>
      </c>
      <c r="ED131">
        <v>1</v>
      </c>
      <c r="EE131">
        <v>2</v>
      </c>
      <c r="EF131">
        <v>0</v>
      </c>
      <c r="EG131">
        <v>8</v>
      </c>
      <c r="EH131">
        <v>20</v>
      </c>
      <c r="EI131">
        <v>1</v>
      </c>
      <c r="EJ131">
        <v>0</v>
      </c>
      <c r="EK131">
        <v>1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1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0</v>
      </c>
      <c r="FM131">
        <v>0</v>
      </c>
      <c r="FN131">
        <v>0</v>
      </c>
      <c r="FO131">
        <v>0</v>
      </c>
      <c r="FP131">
        <v>0</v>
      </c>
    </row>
    <row r="132" spans="1:172" ht="14.25">
      <c r="A132">
        <v>127</v>
      </c>
      <c r="B132" t="str">
        <f>"100706"</f>
        <v>100706</v>
      </c>
      <c r="C132" t="str">
        <f>"Poświętne"</f>
        <v>Poświętne</v>
      </c>
      <c r="D132" t="str">
        <f t="shared" si="20"/>
        <v>opoczyński</v>
      </c>
      <c r="E132" t="str">
        <f t="shared" si="14"/>
        <v>łódzkie</v>
      </c>
      <c r="F132">
        <v>3</v>
      </c>
      <c r="G132" t="str">
        <f>"Szkoła Podstawowa w Brudzewicach, Brudzewice-Kolonia 59, 26-315 Poświętne"</f>
        <v>Szkoła Podstawowa w Brudzewicach, Brudzewice-Kolonia 59, 26-315 Poświętne</v>
      </c>
      <c r="H132">
        <v>643</v>
      </c>
      <c r="I132">
        <v>643</v>
      </c>
      <c r="J132">
        <v>0</v>
      </c>
      <c r="K132">
        <v>450</v>
      </c>
      <c r="L132">
        <v>345</v>
      </c>
      <c r="M132">
        <v>105</v>
      </c>
      <c r="N132">
        <v>105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105</v>
      </c>
      <c r="Z132">
        <v>0</v>
      </c>
      <c r="AA132">
        <v>0</v>
      </c>
      <c r="AB132">
        <v>105</v>
      </c>
      <c r="AC132">
        <v>3</v>
      </c>
      <c r="AD132">
        <v>102</v>
      </c>
      <c r="AE132">
        <v>3</v>
      </c>
      <c r="AF132">
        <v>2</v>
      </c>
      <c r="AG132">
        <v>0</v>
      </c>
      <c r="AH132">
        <v>1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3</v>
      </c>
      <c r="AQ132">
        <v>1</v>
      </c>
      <c r="AR132">
        <v>1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1</v>
      </c>
      <c r="BC132">
        <v>4</v>
      </c>
      <c r="BD132">
        <v>3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1</v>
      </c>
      <c r="BN132">
        <v>4</v>
      </c>
      <c r="BO132">
        <v>60</v>
      </c>
      <c r="BP132">
        <v>38</v>
      </c>
      <c r="BQ132">
        <v>0</v>
      </c>
      <c r="BR132">
        <v>0</v>
      </c>
      <c r="BS132">
        <v>0</v>
      </c>
      <c r="BT132">
        <v>0</v>
      </c>
      <c r="BU132">
        <v>22</v>
      </c>
      <c r="BV132">
        <v>0</v>
      </c>
      <c r="BW132">
        <v>0</v>
      </c>
      <c r="BX132">
        <v>0</v>
      </c>
      <c r="BY132">
        <v>0</v>
      </c>
      <c r="BZ132">
        <v>60</v>
      </c>
      <c r="CA132">
        <v>1</v>
      </c>
      <c r="CB132">
        <v>1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1</v>
      </c>
      <c r="CM132">
        <v>1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1</v>
      </c>
      <c r="CY132">
        <v>2</v>
      </c>
      <c r="CZ132">
        <v>0</v>
      </c>
      <c r="DA132">
        <v>0</v>
      </c>
      <c r="DB132">
        <v>0</v>
      </c>
      <c r="DC132">
        <v>1</v>
      </c>
      <c r="DD132">
        <v>0</v>
      </c>
      <c r="DE132">
        <v>0</v>
      </c>
      <c r="DF132">
        <v>0</v>
      </c>
      <c r="DG132">
        <v>0</v>
      </c>
      <c r="DH132">
        <v>1</v>
      </c>
      <c r="DI132">
        <v>0</v>
      </c>
      <c r="DJ132">
        <v>2</v>
      </c>
      <c r="DK132">
        <v>7</v>
      </c>
      <c r="DL132">
        <v>7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7</v>
      </c>
      <c r="DW132">
        <v>21</v>
      </c>
      <c r="DX132">
        <v>0</v>
      </c>
      <c r="DY132">
        <v>1</v>
      </c>
      <c r="DZ132">
        <v>0</v>
      </c>
      <c r="EA132">
        <v>0</v>
      </c>
      <c r="EB132">
        <v>0</v>
      </c>
      <c r="EC132">
        <v>16</v>
      </c>
      <c r="ED132">
        <v>0</v>
      </c>
      <c r="EE132">
        <v>0</v>
      </c>
      <c r="EF132">
        <v>0</v>
      </c>
      <c r="EG132">
        <v>4</v>
      </c>
      <c r="EH132">
        <v>21</v>
      </c>
      <c r="EI132">
        <v>1</v>
      </c>
      <c r="EJ132">
        <v>1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1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1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1</v>
      </c>
      <c r="FP132">
        <v>1</v>
      </c>
    </row>
    <row r="133" spans="1:172" ht="14.25">
      <c r="A133">
        <v>128</v>
      </c>
      <c r="B133" t="str">
        <f>"100706"</f>
        <v>100706</v>
      </c>
      <c r="C133" t="str">
        <f>"Poświętne"</f>
        <v>Poświętne</v>
      </c>
      <c r="D133" t="str">
        <f t="shared" si="20"/>
        <v>opoczyński</v>
      </c>
      <c r="E133" t="str">
        <f t="shared" si="14"/>
        <v>łódzkie</v>
      </c>
      <c r="F133">
        <v>4</v>
      </c>
      <c r="G133" t="str">
        <f>"Remiza OSP Gapinin, Gapinin-Kolonia 24a, 26-315 Poświętne"</f>
        <v>Remiza OSP Gapinin, Gapinin-Kolonia 24a, 26-315 Poświętne</v>
      </c>
      <c r="H133">
        <v>328</v>
      </c>
      <c r="I133">
        <v>328</v>
      </c>
      <c r="J133">
        <v>0</v>
      </c>
      <c r="K133">
        <v>245</v>
      </c>
      <c r="L133">
        <v>166</v>
      </c>
      <c r="M133">
        <v>79</v>
      </c>
      <c r="N133">
        <v>79</v>
      </c>
      <c r="O133">
        <v>0</v>
      </c>
      <c r="P133">
        <v>0</v>
      </c>
      <c r="Q133">
        <v>2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79</v>
      </c>
      <c r="Z133">
        <v>0</v>
      </c>
      <c r="AA133">
        <v>0</v>
      </c>
      <c r="AB133">
        <v>79</v>
      </c>
      <c r="AC133">
        <v>1</v>
      </c>
      <c r="AD133">
        <v>78</v>
      </c>
      <c r="AE133">
        <v>3</v>
      </c>
      <c r="AF133">
        <v>1</v>
      </c>
      <c r="AG133">
        <v>1</v>
      </c>
      <c r="AH133">
        <v>0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3</v>
      </c>
      <c r="AQ133">
        <v>1</v>
      </c>
      <c r="AR133">
        <v>1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1</v>
      </c>
      <c r="BC133">
        <v>3</v>
      </c>
      <c r="BD133">
        <v>0</v>
      </c>
      <c r="BE133">
        <v>1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1</v>
      </c>
      <c r="BM133">
        <v>1</v>
      </c>
      <c r="BN133">
        <v>3</v>
      </c>
      <c r="BO133">
        <v>47</v>
      </c>
      <c r="BP133">
        <v>28</v>
      </c>
      <c r="BQ133">
        <v>0</v>
      </c>
      <c r="BR133">
        <v>1</v>
      </c>
      <c r="BS133">
        <v>0</v>
      </c>
      <c r="BT133">
        <v>0</v>
      </c>
      <c r="BU133">
        <v>16</v>
      </c>
      <c r="BV133">
        <v>0</v>
      </c>
      <c r="BW133">
        <v>0</v>
      </c>
      <c r="BX133">
        <v>0</v>
      </c>
      <c r="BY133">
        <v>2</v>
      </c>
      <c r="BZ133">
        <v>47</v>
      </c>
      <c r="CA133">
        <v>2</v>
      </c>
      <c r="CB133">
        <v>0</v>
      </c>
      <c r="CC133">
        <v>0</v>
      </c>
      <c r="CD133">
        <v>0</v>
      </c>
      <c r="CE133">
        <v>1</v>
      </c>
      <c r="CF133">
        <v>1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2</v>
      </c>
      <c r="CM133">
        <v>1</v>
      </c>
      <c r="CN133">
        <v>0</v>
      </c>
      <c r="CO133">
        <v>1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1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5</v>
      </c>
      <c r="DL133">
        <v>3</v>
      </c>
      <c r="DM133">
        <v>1</v>
      </c>
      <c r="DN133">
        <v>0</v>
      </c>
      <c r="DO133">
        <v>0</v>
      </c>
      <c r="DP133">
        <v>0</v>
      </c>
      <c r="DQ133">
        <v>1</v>
      </c>
      <c r="DR133">
        <v>0</v>
      </c>
      <c r="DS133">
        <v>0</v>
      </c>
      <c r="DT133">
        <v>0</v>
      </c>
      <c r="DU133">
        <v>0</v>
      </c>
      <c r="DV133">
        <v>5</v>
      </c>
      <c r="DW133">
        <v>13</v>
      </c>
      <c r="DX133">
        <v>4</v>
      </c>
      <c r="DY133">
        <v>4</v>
      </c>
      <c r="DZ133">
        <v>0</v>
      </c>
      <c r="EA133">
        <v>0</v>
      </c>
      <c r="EB133">
        <v>1</v>
      </c>
      <c r="EC133">
        <v>0</v>
      </c>
      <c r="ED133">
        <v>0</v>
      </c>
      <c r="EE133">
        <v>0</v>
      </c>
      <c r="EF133">
        <v>0</v>
      </c>
      <c r="EG133">
        <v>4</v>
      </c>
      <c r="EH133">
        <v>13</v>
      </c>
      <c r="EI133">
        <v>3</v>
      </c>
      <c r="EJ133">
        <v>0</v>
      </c>
      <c r="EK133">
        <v>3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3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</row>
    <row r="134" spans="1:172" ht="14.25">
      <c r="A134">
        <v>129</v>
      </c>
      <c r="B134" t="str">
        <f aca="true" t="shared" si="21" ref="B134:B141">"100707"</f>
        <v>100707</v>
      </c>
      <c r="C134" t="str">
        <f aca="true" t="shared" si="22" ref="C134:C141">"Sławno"</f>
        <v>Sławno</v>
      </c>
      <c r="D134" t="str">
        <f t="shared" si="20"/>
        <v>opoczyński</v>
      </c>
      <c r="E134" t="str">
        <f aca="true" t="shared" si="23" ref="E134:E197">"łódzkie"</f>
        <v>łódzkie</v>
      </c>
      <c r="F134">
        <v>1</v>
      </c>
      <c r="G134" t="str">
        <f>"Urząd Gminy w Sławnie, ul. Marszałka Józefa Piłsudskiego 31, 26-332 Sławno"</f>
        <v>Urząd Gminy w Sławnie, ul. Marszałka Józefa Piłsudskiego 31, 26-332 Sławno</v>
      </c>
      <c r="H134">
        <v>889</v>
      </c>
      <c r="I134">
        <v>889</v>
      </c>
      <c r="J134">
        <v>0</v>
      </c>
      <c r="K134">
        <v>620</v>
      </c>
      <c r="L134">
        <v>416</v>
      </c>
      <c r="M134">
        <v>204</v>
      </c>
      <c r="N134">
        <v>204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204</v>
      </c>
      <c r="Z134">
        <v>0</v>
      </c>
      <c r="AA134">
        <v>0</v>
      </c>
      <c r="AB134">
        <v>204</v>
      </c>
      <c r="AC134">
        <v>3</v>
      </c>
      <c r="AD134">
        <v>201</v>
      </c>
      <c r="AE134">
        <v>7</v>
      </c>
      <c r="AF134">
        <v>0</v>
      </c>
      <c r="AG134">
        <v>0</v>
      </c>
      <c r="AH134">
        <v>1</v>
      </c>
      <c r="AI134">
        <v>0</v>
      </c>
      <c r="AJ134">
        <v>5</v>
      </c>
      <c r="AK134">
        <v>0</v>
      </c>
      <c r="AL134">
        <v>0</v>
      </c>
      <c r="AM134">
        <v>0</v>
      </c>
      <c r="AN134">
        <v>0</v>
      </c>
      <c r="AO134">
        <v>1</v>
      </c>
      <c r="AP134">
        <v>7</v>
      </c>
      <c r="AQ134">
        <v>6</v>
      </c>
      <c r="AR134">
        <v>3</v>
      </c>
      <c r="AS134">
        <v>0</v>
      </c>
      <c r="AT134">
        <v>0</v>
      </c>
      <c r="AU134">
        <v>1</v>
      </c>
      <c r="AV134">
        <v>0</v>
      </c>
      <c r="AW134">
        <v>0</v>
      </c>
      <c r="AX134">
        <v>0</v>
      </c>
      <c r="AY134">
        <v>1</v>
      </c>
      <c r="AZ134">
        <v>0</v>
      </c>
      <c r="BA134">
        <v>1</v>
      </c>
      <c r="BB134">
        <v>6</v>
      </c>
      <c r="BC134">
        <v>6</v>
      </c>
      <c r="BD134">
        <v>2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4</v>
      </c>
      <c r="BN134">
        <v>6</v>
      </c>
      <c r="BO134">
        <v>103</v>
      </c>
      <c r="BP134">
        <v>59</v>
      </c>
      <c r="BQ134">
        <v>4</v>
      </c>
      <c r="BR134">
        <v>0</v>
      </c>
      <c r="BS134">
        <v>0</v>
      </c>
      <c r="BT134">
        <v>0</v>
      </c>
      <c r="BU134">
        <v>40</v>
      </c>
      <c r="BV134">
        <v>0</v>
      </c>
      <c r="BW134">
        <v>0</v>
      </c>
      <c r="BX134">
        <v>0</v>
      </c>
      <c r="BY134">
        <v>0</v>
      </c>
      <c r="BZ134">
        <v>103</v>
      </c>
      <c r="CA134">
        <v>1</v>
      </c>
      <c r="CB134">
        <v>1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1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7</v>
      </c>
      <c r="CZ134">
        <v>4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3</v>
      </c>
      <c r="DI134">
        <v>0</v>
      </c>
      <c r="DJ134">
        <v>7</v>
      </c>
      <c r="DK134">
        <v>4</v>
      </c>
      <c r="DL134">
        <v>4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4</v>
      </c>
      <c r="DW134">
        <v>67</v>
      </c>
      <c r="DX134">
        <v>0</v>
      </c>
      <c r="DY134">
        <v>5</v>
      </c>
      <c r="DZ134">
        <v>0</v>
      </c>
      <c r="EA134">
        <v>0</v>
      </c>
      <c r="EB134">
        <v>3</v>
      </c>
      <c r="EC134">
        <v>0</v>
      </c>
      <c r="ED134">
        <v>0</v>
      </c>
      <c r="EE134">
        <v>5</v>
      </c>
      <c r="EF134">
        <v>0</v>
      </c>
      <c r="EG134">
        <v>54</v>
      </c>
      <c r="EH134">
        <v>67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</row>
    <row r="135" spans="1:172" ht="14.25">
      <c r="A135">
        <v>130</v>
      </c>
      <c r="B135" t="str">
        <f t="shared" si="21"/>
        <v>100707</v>
      </c>
      <c r="C135" t="str">
        <f t="shared" si="22"/>
        <v>Sławno</v>
      </c>
      <c r="D135" t="str">
        <f t="shared" si="20"/>
        <v>opoczyński</v>
      </c>
      <c r="E135" t="str">
        <f t="shared" si="23"/>
        <v>łódzkie</v>
      </c>
      <c r="F135">
        <v>2</v>
      </c>
      <c r="G135" t="str">
        <f>"Publiczna Szkoła Podstawowa, Celestynów 24, 26-332 Sławno"</f>
        <v>Publiczna Szkoła Podstawowa, Celestynów 24, 26-332 Sławno</v>
      </c>
      <c r="H135">
        <v>357</v>
      </c>
      <c r="I135">
        <v>357</v>
      </c>
      <c r="J135">
        <v>0</v>
      </c>
      <c r="K135">
        <v>250</v>
      </c>
      <c r="L135">
        <v>155</v>
      </c>
      <c r="M135">
        <v>95</v>
      </c>
      <c r="N135">
        <v>95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95</v>
      </c>
      <c r="Z135">
        <v>0</v>
      </c>
      <c r="AA135">
        <v>0</v>
      </c>
      <c r="AB135">
        <v>95</v>
      </c>
      <c r="AC135">
        <v>12</v>
      </c>
      <c r="AD135">
        <v>83</v>
      </c>
      <c r="AE135">
        <v>4</v>
      </c>
      <c r="AF135">
        <v>3</v>
      </c>
      <c r="AG135">
        <v>1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4</v>
      </c>
      <c r="AQ135">
        <v>3</v>
      </c>
      <c r="AR135">
        <v>3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3</v>
      </c>
      <c r="BC135">
        <v>3</v>
      </c>
      <c r="BD135">
        <v>2</v>
      </c>
      <c r="BE135">
        <v>0</v>
      </c>
      <c r="BF135">
        <v>0</v>
      </c>
      <c r="BG135">
        <v>0</v>
      </c>
      <c r="BH135">
        <v>0</v>
      </c>
      <c r="BI135">
        <v>1</v>
      </c>
      <c r="BJ135">
        <v>0</v>
      </c>
      <c r="BK135">
        <v>0</v>
      </c>
      <c r="BL135">
        <v>0</v>
      </c>
      <c r="BM135">
        <v>0</v>
      </c>
      <c r="BN135">
        <v>3</v>
      </c>
      <c r="BO135">
        <v>49</v>
      </c>
      <c r="BP135">
        <v>24</v>
      </c>
      <c r="BQ135">
        <v>1</v>
      </c>
      <c r="BR135">
        <v>0</v>
      </c>
      <c r="BS135">
        <v>0</v>
      </c>
      <c r="BT135">
        <v>0</v>
      </c>
      <c r="BU135">
        <v>22</v>
      </c>
      <c r="BV135">
        <v>1</v>
      </c>
      <c r="BW135">
        <v>1</v>
      </c>
      <c r="BX135">
        <v>0</v>
      </c>
      <c r="BY135">
        <v>0</v>
      </c>
      <c r="BZ135">
        <v>49</v>
      </c>
      <c r="CA135">
        <v>1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1</v>
      </c>
      <c r="CH135">
        <v>0</v>
      </c>
      <c r="CI135">
        <v>0</v>
      </c>
      <c r="CJ135">
        <v>0</v>
      </c>
      <c r="CK135">
        <v>0</v>
      </c>
      <c r="CL135">
        <v>1</v>
      </c>
      <c r="CM135">
        <v>5</v>
      </c>
      <c r="CN135">
        <v>2</v>
      </c>
      <c r="CO135">
        <v>2</v>
      </c>
      <c r="CP135">
        <v>0</v>
      </c>
      <c r="CQ135">
        <v>1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5</v>
      </c>
      <c r="CY135">
        <v>4</v>
      </c>
      <c r="CZ135">
        <v>3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1</v>
      </c>
      <c r="DI135">
        <v>0</v>
      </c>
      <c r="DJ135">
        <v>4</v>
      </c>
      <c r="DK135">
        <v>2</v>
      </c>
      <c r="DL135">
        <v>2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2</v>
      </c>
      <c r="DW135">
        <v>11</v>
      </c>
      <c r="DX135">
        <v>0</v>
      </c>
      <c r="DY135">
        <v>1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10</v>
      </c>
      <c r="EH135">
        <v>11</v>
      </c>
      <c r="EI135">
        <v>1</v>
      </c>
      <c r="EJ135">
        <v>0</v>
      </c>
      <c r="EK135">
        <v>1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1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</row>
    <row r="136" spans="1:172" ht="14.25">
      <c r="A136">
        <v>131</v>
      </c>
      <c r="B136" t="str">
        <f t="shared" si="21"/>
        <v>100707</v>
      </c>
      <c r="C136" t="str">
        <f t="shared" si="22"/>
        <v>Sławno</v>
      </c>
      <c r="D136" t="str">
        <f t="shared" si="20"/>
        <v>opoczyński</v>
      </c>
      <c r="E136" t="str">
        <f t="shared" si="23"/>
        <v>łódzkie</v>
      </c>
      <c r="F136">
        <v>3</v>
      </c>
      <c r="G136" t="str">
        <f>"Publiczna Szkoła Podstawowa im. ks. Jana Twardowskiego, Kamień 64, 26-332 Sławno"</f>
        <v>Publiczna Szkoła Podstawowa im. ks. Jana Twardowskiego, Kamień 64, 26-332 Sławno</v>
      </c>
      <c r="H136">
        <v>866</v>
      </c>
      <c r="I136">
        <v>866</v>
      </c>
      <c r="J136">
        <v>0</v>
      </c>
      <c r="K136">
        <v>610</v>
      </c>
      <c r="L136">
        <v>415</v>
      </c>
      <c r="M136">
        <v>195</v>
      </c>
      <c r="N136">
        <v>195</v>
      </c>
      <c r="O136">
        <v>0</v>
      </c>
      <c r="P136">
        <v>0</v>
      </c>
      <c r="Q136">
        <v>2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195</v>
      </c>
      <c r="Z136">
        <v>0</v>
      </c>
      <c r="AA136">
        <v>0</v>
      </c>
      <c r="AB136">
        <v>195</v>
      </c>
      <c r="AC136">
        <v>15</v>
      </c>
      <c r="AD136">
        <v>180</v>
      </c>
      <c r="AE136">
        <v>7</v>
      </c>
      <c r="AF136">
        <v>4</v>
      </c>
      <c r="AG136">
        <v>0</v>
      </c>
      <c r="AH136">
        <v>0</v>
      </c>
      <c r="AI136">
        <v>0</v>
      </c>
      <c r="AJ136">
        <v>1</v>
      </c>
      <c r="AK136">
        <v>0</v>
      </c>
      <c r="AL136">
        <v>0</v>
      </c>
      <c r="AM136">
        <v>1</v>
      </c>
      <c r="AN136">
        <v>0</v>
      </c>
      <c r="AO136">
        <v>1</v>
      </c>
      <c r="AP136">
        <v>7</v>
      </c>
      <c r="AQ136">
        <v>1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1</v>
      </c>
      <c r="BC136">
        <v>5</v>
      </c>
      <c r="BD136">
        <v>2</v>
      </c>
      <c r="BE136">
        <v>1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2</v>
      </c>
      <c r="BN136">
        <v>5</v>
      </c>
      <c r="BO136">
        <v>96</v>
      </c>
      <c r="BP136">
        <v>62</v>
      </c>
      <c r="BQ136">
        <v>0</v>
      </c>
      <c r="BR136">
        <v>1</v>
      </c>
      <c r="BS136">
        <v>0</v>
      </c>
      <c r="BT136">
        <v>0</v>
      </c>
      <c r="BU136">
        <v>29</v>
      </c>
      <c r="BV136">
        <v>1</v>
      </c>
      <c r="BW136">
        <v>1</v>
      </c>
      <c r="BX136">
        <v>1</v>
      </c>
      <c r="BY136">
        <v>1</v>
      </c>
      <c r="BZ136">
        <v>96</v>
      </c>
      <c r="CA136">
        <v>1</v>
      </c>
      <c r="CB136">
        <v>0</v>
      </c>
      <c r="CC136">
        <v>0</v>
      </c>
      <c r="CD136">
        <v>0</v>
      </c>
      <c r="CE136">
        <v>1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1</v>
      </c>
      <c r="CM136">
        <v>1</v>
      </c>
      <c r="CN136">
        <v>0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4</v>
      </c>
      <c r="CZ136">
        <v>2</v>
      </c>
      <c r="DA136">
        <v>2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4</v>
      </c>
      <c r="DK136">
        <v>6</v>
      </c>
      <c r="DL136">
        <v>6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6</v>
      </c>
      <c r="DW136">
        <v>59</v>
      </c>
      <c r="DX136">
        <v>0</v>
      </c>
      <c r="DY136">
        <v>10</v>
      </c>
      <c r="DZ136">
        <v>0</v>
      </c>
      <c r="EA136">
        <v>0</v>
      </c>
      <c r="EB136">
        <v>5</v>
      </c>
      <c r="EC136">
        <v>1</v>
      </c>
      <c r="ED136">
        <v>0</v>
      </c>
      <c r="EE136">
        <v>2</v>
      </c>
      <c r="EF136">
        <v>0</v>
      </c>
      <c r="EG136">
        <v>41</v>
      </c>
      <c r="EH136">
        <v>59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0</v>
      </c>
    </row>
    <row r="137" spans="1:172" ht="14.25">
      <c r="A137">
        <v>132</v>
      </c>
      <c r="B137" t="str">
        <f t="shared" si="21"/>
        <v>100707</v>
      </c>
      <c r="C137" t="str">
        <f t="shared" si="22"/>
        <v>Sławno</v>
      </c>
      <c r="D137" t="str">
        <f t="shared" si="20"/>
        <v>opoczyński</v>
      </c>
      <c r="E137" t="str">
        <f t="shared" si="23"/>
        <v>łódzkie</v>
      </c>
      <c r="F137">
        <v>4</v>
      </c>
      <c r="G137" t="str">
        <f>"Publiczne Gimnazjum im. Kazimierza Wielkiego, Szadkowice 38A, 26-332 Sławno"</f>
        <v>Publiczne Gimnazjum im. Kazimierza Wielkiego, Szadkowice 38A, 26-332 Sławno</v>
      </c>
      <c r="H137">
        <v>796</v>
      </c>
      <c r="I137">
        <v>796</v>
      </c>
      <c r="J137">
        <v>0</v>
      </c>
      <c r="K137">
        <v>560</v>
      </c>
      <c r="L137">
        <v>330</v>
      </c>
      <c r="M137">
        <v>230</v>
      </c>
      <c r="N137">
        <v>230</v>
      </c>
      <c r="O137">
        <v>0</v>
      </c>
      <c r="P137">
        <v>0</v>
      </c>
      <c r="Q137">
        <v>3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230</v>
      </c>
      <c r="Z137">
        <v>0</v>
      </c>
      <c r="AA137">
        <v>0</v>
      </c>
      <c r="AB137">
        <v>230</v>
      </c>
      <c r="AC137">
        <v>8</v>
      </c>
      <c r="AD137">
        <v>222</v>
      </c>
      <c r="AE137">
        <v>3</v>
      </c>
      <c r="AF137">
        <v>1</v>
      </c>
      <c r="AG137">
        <v>1</v>
      </c>
      <c r="AH137">
        <v>1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3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5</v>
      </c>
      <c r="BD137">
        <v>2</v>
      </c>
      <c r="BE137">
        <v>0</v>
      </c>
      <c r="BF137">
        <v>0</v>
      </c>
      <c r="BG137">
        <v>0</v>
      </c>
      <c r="BH137">
        <v>1</v>
      </c>
      <c r="BI137">
        <v>0</v>
      </c>
      <c r="BJ137">
        <v>0</v>
      </c>
      <c r="BK137">
        <v>0</v>
      </c>
      <c r="BL137">
        <v>0</v>
      </c>
      <c r="BM137">
        <v>2</v>
      </c>
      <c r="BN137">
        <v>5</v>
      </c>
      <c r="BO137">
        <v>118</v>
      </c>
      <c r="BP137">
        <v>75</v>
      </c>
      <c r="BQ137">
        <v>4</v>
      </c>
      <c r="BR137">
        <v>0</v>
      </c>
      <c r="BS137">
        <v>0</v>
      </c>
      <c r="BT137">
        <v>0</v>
      </c>
      <c r="BU137">
        <v>39</v>
      </c>
      <c r="BV137">
        <v>0</v>
      </c>
      <c r="BW137">
        <v>0</v>
      </c>
      <c r="BX137">
        <v>0</v>
      </c>
      <c r="BY137">
        <v>0</v>
      </c>
      <c r="BZ137">
        <v>118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3</v>
      </c>
      <c r="CN137">
        <v>1</v>
      </c>
      <c r="CO137">
        <v>2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3</v>
      </c>
      <c r="CY137">
        <v>14</v>
      </c>
      <c r="CZ137">
        <v>6</v>
      </c>
      <c r="DA137">
        <v>1</v>
      </c>
      <c r="DB137">
        <v>2</v>
      </c>
      <c r="DC137">
        <v>0</v>
      </c>
      <c r="DD137">
        <v>0</v>
      </c>
      <c r="DE137">
        <v>1</v>
      </c>
      <c r="DF137">
        <v>2</v>
      </c>
      <c r="DG137">
        <v>1</v>
      </c>
      <c r="DH137">
        <v>0</v>
      </c>
      <c r="DI137">
        <v>1</v>
      </c>
      <c r="DJ137">
        <v>14</v>
      </c>
      <c r="DK137">
        <v>19</v>
      </c>
      <c r="DL137">
        <v>11</v>
      </c>
      <c r="DM137">
        <v>4</v>
      </c>
      <c r="DN137">
        <v>0</v>
      </c>
      <c r="DO137">
        <v>1</v>
      </c>
      <c r="DP137">
        <v>3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19</v>
      </c>
      <c r="DW137">
        <v>59</v>
      </c>
      <c r="DX137">
        <v>2</v>
      </c>
      <c r="DY137">
        <v>5</v>
      </c>
      <c r="DZ137">
        <v>0</v>
      </c>
      <c r="EA137">
        <v>0</v>
      </c>
      <c r="EB137">
        <v>1</v>
      </c>
      <c r="EC137">
        <v>1</v>
      </c>
      <c r="ED137">
        <v>0</v>
      </c>
      <c r="EE137">
        <v>5</v>
      </c>
      <c r="EF137">
        <v>0</v>
      </c>
      <c r="EG137">
        <v>45</v>
      </c>
      <c r="EH137">
        <v>59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1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1</v>
      </c>
      <c r="FP137">
        <v>1</v>
      </c>
    </row>
    <row r="138" spans="1:172" ht="14.25">
      <c r="A138">
        <v>133</v>
      </c>
      <c r="B138" t="str">
        <f t="shared" si="21"/>
        <v>100707</v>
      </c>
      <c r="C138" t="str">
        <f t="shared" si="22"/>
        <v>Sławno</v>
      </c>
      <c r="D138" t="str">
        <f t="shared" si="20"/>
        <v>opoczyński</v>
      </c>
      <c r="E138" t="str">
        <f t="shared" si="23"/>
        <v>łódzkie</v>
      </c>
      <c r="F138">
        <v>5</v>
      </c>
      <c r="G138" t="str">
        <f>"Publiczna Szkoła Podstawowa im. Wandy i Henryka Ossowskich, Kunice 62A, 26-332 Sławno"</f>
        <v>Publiczna Szkoła Podstawowa im. Wandy i Henryka Ossowskich, Kunice 62A, 26-332 Sławno</v>
      </c>
      <c r="H138">
        <v>849</v>
      </c>
      <c r="I138">
        <v>849</v>
      </c>
      <c r="J138">
        <v>0</v>
      </c>
      <c r="K138">
        <v>590</v>
      </c>
      <c r="L138">
        <v>365</v>
      </c>
      <c r="M138">
        <v>225</v>
      </c>
      <c r="N138">
        <v>225</v>
      </c>
      <c r="O138">
        <v>0</v>
      </c>
      <c r="P138">
        <v>0</v>
      </c>
      <c r="Q138">
        <v>2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225</v>
      </c>
      <c r="Z138">
        <v>0</v>
      </c>
      <c r="AA138">
        <v>0</v>
      </c>
      <c r="AB138">
        <v>225</v>
      </c>
      <c r="AC138">
        <v>7</v>
      </c>
      <c r="AD138">
        <v>218</v>
      </c>
      <c r="AE138">
        <v>5</v>
      </c>
      <c r="AF138">
        <v>3</v>
      </c>
      <c r="AG138">
        <v>1</v>
      </c>
      <c r="AH138">
        <v>0</v>
      </c>
      <c r="AI138">
        <v>0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5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126</v>
      </c>
      <c r="BP138">
        <v>87</v>
      </c>
      <c r="BQ138">
        <v>1</v>
      </c>
      <c r="BR138">
        <v>2</v>
      </c>
      <c r="BS138">
        <v>2</v>
      </c>
      <c r="BT138">
        <v>1</v>
      </c>
      <c r="BU138">
        <v>32</v>
      </c>
      <c r="BV138">
        <v>0</v>
      </c>
      <c r="BW138">
        <v>0</v>
      </c>
      <c r="BX138">
        <v>1</v>
      </c>
      <c r="BY138">
        <v>0</v>
      </c>
      <c r="BZ138">
        <v>126</v>
      </c>
      <c r="CA138">
        <v>2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2</v>
      </c>
      <c r="CH138">
        <v>0</v>
      </c>
      <c r="CI138">
        <v>0</v>
      </c>
      <c r="CJ138">
        <v>0</v>
      </c>
      <c r="CK138">
        <v>0</v>
      </c>
      <c r="CL138">
        <v>2</v>
      </c>
      <c r="CM138">
        <v>8</v>
      </c>
      <c r="CN138">
        <v>5</v>
      </c>
      <c r="CO138">
        <v>0</v>
      </c>
      <c r="CP138">
        <v>1</v>
      </c>
      <c r="CQ138">
        <v>0</v>
      </c>
      <c r="CR138">
        <v>0</v>
      </c>
      <c r="CS138">
        <v>2</v>
      </c>
      <c r="CT138">
        <v>0</v>
      </c>
      <c r="CU138">
        <v>0</v>
      </c>
      <c r="CV138">
        <v>0</v>
      </c>
      <c r="CW138">
        <v>0</v>
      </c>
      <c r="CX138">
        <v>8</v>
      </c>
      <c r="CY138">
        <v>10</v>
      </c>
      <c r="CZ138">
        <v>4</v>
      </c>
      <c r="DA138">
        <v>0</v>
      </c>
      <c r="DB138">
        <v>1</v>
      </c>
      <c r="DC138">
        <v>1</v>
      </c>
      <c r="DD138">
        <v>0</v>
      </c>
      <c r="DE138">
        <v>0</v>
      </c>
      <c r="DF138">
        <v>1</v>
      </c>
      <c r="DG138">
        <v>0</v>
      </c>
      <c r="DH138">
        <v>0</v>
      </c>
      <c r="DI138">
        <v>3</v>
      </c>
      <c r="DJ138">
        <v>10</v>
      </c>
      <c r="DK138">
        <v>13</v>
      </c>
      <c r="DL138">
        <v>7</v>
      </c>
      <c r="DM138">
        <v>3</v>
      </c>
      <c r="DN138">
        <v>0</v>
      </c>
      <c r="DO138">
        <v>0</v>
      </c>
      <c r="DP138">
        <v>3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13</v>
      </c>
      <c r="DW138">
        <v>54</v>
      </c>
      <c r="DX138">
        <v>1</v>
      </c>
      <c r="DY138">
        <v>4</v>
      </c>
      <c r="DZ138">
        <v>0</v>
      </c>
      <c r="EA138">
        <v>0</v>
      </c>
      <c r="EB138">
        <v>6</v>
      </c>
      <c r="EC138">
        <v>0</v>
      </c>
      <c r="ED138">
        <v>1</v>
      </c>
      <c r="EE138">
        <v>4</v>
      </c>
      <c r="EF138">
        <v>0</v>
      </c>
      <c r="EG138">
        <v>38</v>
      </c>
      <c r="EH138">
        <v>54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</row>
    <row r="139" spans="1:172" ht="14.25">
      <c r="A139">
        <v>134</v>
      </c>
      <c r="B139" t="str">
        <f t="shared" si="21"/>
        <v>100707</v>
      </c>
      <c r="C139" t="str">
        <f t="shared" si="22"/>
        <v>Sławno</v>
      </c>
      <c r="D139" t="str">
        <f t="shared" si="20"/>
        <v>opoczyński</v>
      </c>
      <c r="E139" t="str">
        <f t="shared" si="23"/>
        <v>łódzkie</v>
      </c>
      <c r="F139">
        <v>6</v>
      </c>
      <c r="G139" t="str">
        <f>"Publiczna Szkoła Podstawowa, Zachorzów 62, 26-332 Sławno"</f>
        <v>Publiczna Szkoła Podstawowa, Zachorzów 62, 26-332 Sławno</v>
      </c>
      <c r="H139">
        <v>762</v>
      </c>
      <c r="I139">
        <v>762</v>
      </c>
      <c r="J139">
        <v>0</v>
      </c>
      <c r="K139">
        <v>541</v>
      </c>
      <c r="L139">
        <v>297</v>
      </c>
      <c r="M139">
        <v>244</v>
      </c>
      <c r="N139">
        <v>244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244</v>
      </c>
      <c r="Z139">
        <v>0</v>
      </c>
      <c r="AA139">
        <v>0</v>
      </c>
      <c r="AB139">
        <v>244</v>
      </c>
      <c r="AC139">
        <v>12</v>
      </c>
      <c r="AD139">
        <v>232</v>
      </c>
      <c r="AE139">
        <v>10</v>
      </c>
      <c r="AF139">
        <v>7</v>
      </c>
      <c r="AG139">
        <v>1</v>
      </c>
      <c r="AH139">
        <v>0</v>
      </c>
      <c r="AI139">
        <v>0</v>
      </c>
      <c r="AJ139">
        <v>2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10</v>
      </c>
      <c r="AQ139">
        <v>2</v>
      </c>
      <c r="AR139">
        <v>1</v>
      </c>
      <c r="AS139">
        <v>0</v>
      </c>
      <c r="AT139">
        <v>0</v>
      </c>
      <c r="AU139">
        <v>0</v>
      </c>
      <c r="AV139">
        <v>1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2</v>
      </c>
      <c r="BC139">
        <v>5</v>
      </c>
      <c r="BD139">
        <v>2</v>
      </c>
      <c r="BE139">
        <v>1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2</v>
      </c>
      <c r="BN139">
        <v>5</v>
      </c>
      <c r="BO139">
        <v>121</v>
      </c>
      <c r="BP139">
        <v>76</v>
      </c>
      <c r="BQ139">
        <v>0</v>
      </c>
      <c r="BR139">
        <v>1</v>
      </c>
      <c r="BS139">
        <v>2</v>
      </c>
      <c r="BT139">
        <v>0</v>
      </c>
      <c r="BU139">
        <v>40</v>
      </c>
      <c r="BV139">
        <v>1</v>
      </c>
      <c r="BW139">
        <v>0</v>
      </c>
      <c r="BX139">
        <v>0</v>
      </c>
      <c r="BY139">
        <v>1</v>
      </c>
      <c r="BZ139">
        <v>121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3</v>
      </c>
      <c r="CN139">
        <v>1</v>
      </c>
      <c r="CO139">
        <v>1</v>
      </c>
      <c r="CP139">
        <v>0</v>
      </c>
      <c r="CQ139">
        <v>1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3</v>
      </c>
      <c r="CY139">
        <v>4</v>
      </c>
      <c r="CZ139">
        <v>1</v>
      </c>
      <c r="DA139">
        <v>0</v>
      </c>
      <c r="DB139">
        <v>1</v>
      </c>
      <c r="DC139">
        <v>0</v>
      </c>
      <c r="DD139">
        <v>0</v>
      </c>
      <c r="DE139">
        <v>1</v>
      </c>
      <c r="DF139">
        <v>0</v>
      </c>
      <c r="DG139">
        <v>1</v>
      </c>
      <c r="DH139">
        <v>0</v>
      </c>
      <c r="DI139">
        <v>0</v>
      </c>
      <c r="DJ139">
        <v>4</v>
      </c>
      <c r="DK139">
        <v>10</v>
      </c>
      <c r="DL139">
        <v>9</v>
      </c>
      <c r="DM139">
        <v>1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10</v>
      </c>
      <c r="DW139">
        <v>75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75</v>
      </c>
      <c r="EH139">
        <v>75</v>
      </c>
      <c r="EI139">
        <v>1</v>
      </c>
      <c r="EJ139">
        <v>0</v>
      </c>
      <c r="EK139">
        <v>1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1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1</v>
      </c>
      <c r="FF139">
        <v>0</v>
      </c>
      <c r="FG139">
        <v>1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1</v>
      </c>
    </row>
    <row r="140" spans="1:172" ht="14.25">
      <c r="A140">
        <v>135</v>
      </c>
      <c r="B140" t="str">
        <f t="shared" si="21"/>
        <v>100707</v>
      </c>
      <c r="C140" t="str">
        <f t="shared" si="22"/>
        <v>Sławno</v>
      </c>
      <c r="D140" t="str">
        <f t="shared" si="20"/>
        <v>opoczyński</v>
      </c>
      <c r="E140" t="str">
        <f t="shared" si="23"/>
        <v>łódzkie</v>
      </c>
      <c r="F140">
        <v>7</v>
      </c>
      <c r="G140" t="str">
        <f>"Zespół Szkół Samorządowych, Prymusowa Wola 6, 26-332 Sławno"</f>
        <v>Zespół Szkół Samorządowych, Prymusowa Wola 6, 26-332 Sławno</v>
      </c>
      <c r="H140">
        <v>709</v>
      </c>
      <c r="I140">
        <v>709</v>
      </c>
      <c r="J140">
        <v>0</v>
      </c>
      <c r="K140">
        <v>500</v>
      </c>
      <c r="L140">
        <v>288</v>
      </c>
      <c r="M140">
        <v>212</v>
      </c>
      <c r="N140">
        <v>212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212</v>
      </c>
      <c r="Z140">
        <v>0</v>
      </c>
      <c r="AA140">
        <v>0</v>
      </c>
      <c r="AB140">
        <v>212</v>
      </c>
      <c r="AC140">
        <v>2</v>
      </c>
      <c r="AD140">
        <v>210</v>
      </c>
      <c r="AE140">
        <v>3</v>
      </c>
      <c r="AF140">
        <v>2</v>
      </c>
      <c r="AG140">
        <v>0</v>
      </c>
      <c r="AH140">
        <v>0</v>
      </c>
      <c r="AI140">
        <v>0</v>
      </c>
      <c r="AJ140">
        <v>0</v>
      </c>
      <c r="AK140">
        <v>1</v>
      </c>
      <c r="AL140">
        <v>0</v>
      </c>
      <c r="AM140">
        <v>0</v>
      </c>
      <c r="AN140">
        <v>0</v>
      </c>
      <c r="AO140">
        <v>0</v>
      </c>
      <c r="AP140">
        <v>3</v>
      </c>
      <c r="AQ140">
        <v>1</v>
      </c>
      <c r="AR140">
        <v>0</v>
      </c>
      <c r="AS140">
        <v>1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1</v>
      </c>
      <c r="BC140">
        <v>3</v>
      </c>
      <c r="BD140">
        <v>1</v>
      </c>
      <c r="BE140">
        <v>0</v>
      </c>
      <c r="BF140">
        <v>0</v>
      </c>
      <c r="BG140">
        <v>0</v>
      </c>
      <c r="BH140">
        <v>2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3</v>
      </c>
      <c r="BO140">
        <v>138</v>
      </c>
      <c r="BP140">
        <v>97</v>
      </c>
      <c r="BQ140">
        <v>7</v>
      </c>
      <c r="BR140">
        <v>0</v>
      </c>
      <c r="BS140">
        <v>0</v>
      </c>
      <c r="BT140">
        <v>0</v>
      </c>
      <c r="BU140">
        <v>33</v>
      </c>
      <c r="BV140">
        <v>1</v>
      </c>
      <c r="BW140">
        <v>0</v>
      </c>
      <c r="BX140">
        <v>0</v>
      </c>
      <c r="BY140">
        <v>0</v>
      </c>
      <c r="BZ140">
        <v>138</v>
      </c>
      <c r="CA140">
        <v>1</v>
      </c>
      <c r="CB140">
        <v>1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1</v>
      </c>
      <c r="CM140">
        <v>1</v>
      </c>
      <c r="CN140">
        <v>1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1</v>
      </c>
      <c r="CY140">
        <v>6</v>
      </c>
      <c r="CZ140">
        <v>3</v>
      </c>
      <c r="DA140">
        <v>0</v>
      </c>
      <c r="DB140">
        <v>0</v>
      </c>
      <c r="DC140">
        <v>2</v>
      </c>
      <c r="DD140">
        <v>0</v>
      </c>
      <c r="DE140">
        <v>0</v>
      </c>
      <c r="DF140">
        <v>0</v>
      </c>
      <c r="DG140">
        <v>0</v>
      </c>
      <c r="DH140">
        <v>1</v>
      </c>
      <c r="DI140">
        <v>0</v>
      </c>
      <c r="DJ140">
        <v>6</v>
      </c>
      <c r="DK140">
        <v>13</v>
      </c>
      <c r="DL140">
        <v>9</v>
      </c>
      <c r="DM140">
        <v>1</v>
      </c>
      <c r="DN140">
        <v>0</v>
      </c>
      <c r="DO140">
        <v>0</v>
      </c>
      <c r="DP140">
        <v>3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13</v>
      </c>
      <c r="DW140">
        <v>43</v>
      </c>
      <c r="DX140">
        <v>0</v>
      </c>
      <c r="DY140">
        <v>5</v>
      </c>
      <c r="DZ140">
        <v>0</v>
      </c>
      <c r="EA140">
        <v>0</v>
      </c>
      <c r="EB140">
        <v>2</v>
      </c>
      <c r="EC140">
        <v>0</v>
      </c>
      <c r="ED140">
        <v>0</v>
      </c>
      <c r="EE140">
        <v>0</v>
      </c>
      <c r="EF140">
        <v>1</v>
      </c>
      <c r="EG140">
        <v>35</v>
      </c>
      <c r="EH140">
        <v>43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1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1</v>
      </c>
      <c r="FA140">
        <v>0</v>
      </c>
      <c r="FB140">
        <v>0</v>
      </c>
      <c r="FC140">
        <v>0</v>
      </c>
      <c r="FD140">
        <v>1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</row>
    <row r="141" spans="1:172" ht="14.25">
      <c r="A141">
        <v>136</v>
      </c>
      <c r="B141" t="str">
        <f t="shared" si="21"/>
        <v>100707</v>
      </c>
      <c r="C141" t="str">
        <f t="shared" si="22"/>
        <v>Sławno</v>
      </c>
      <c r="D141" t="str">
        <f t="shared" si="20"/>
        <v>opoczyński</v>
      </c>
      <c r="E141" t="str">
        <f t="shared" si="23"/>
        <v>łódzkie</v>
      </c>
      <c r="F141">
        <v>8</v>
      </c>
      <c r="G141" t="str">
        <f>"Ochotnicza Straż Pożarna w Sławnie, Marszałka Józefa Piłsudskiego 1, 26-332 Sławno"</f>
        <v>Ochotnicza Straż Pożarna w Sławnie, Marszałka Józefa Piłsudskiego 1, 26-332 Sławno</v>
      </c>
      <c r="H141">
        <v>773</v>
      </c>
      <c r="I141">
        <v>773</v>
      </c>
      <c r="J141">
        <v>0</v>
      </c>
      <c r="K141">
        <v>550</v>
      </c>
      <c r="L141">
        <v>373</v>
      </c>
      <c r="M141">
        <v>177</v>
      </c>
      <c r="N141">
        <v>177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175</v>
      </c>
      <c r="Z141">
        <v>0</v>
      </c>
      <c r="AA141">
        <v>0</v>
      </c>
      <c r="AB141">
        <v>175</v>
      </c>
      <c r="AC141">
        <v>6</v>
      </c>
      <c r="AD141">
        <v>169</v>
      </c>
      <c r="AE141">
        <v>3</v>
      </c>
      <c r="AF141">
        <v>2</v>
      </c>
      <c r="AG141">
        <v>0</v>
      </c>
      <c r="AH141">
        <v>0</v>
      </c>
      <c r="AI141">
        <v>0</v>
      </c>
      <c r="AJ141">
        <v>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3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2</v>
      </c>
      <c r="BD141">
        <v>0</v>
      </c>
      <c r="BE141">
        <v>1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1</v>
      </c>
      <c r="BN141">
        <v>2</v>
      </c>
      <c r="BO141">
        <v>119</v>
      </c>
      <c r="BP141">
        <v>91</v>
      </c>
      <c r="BQ141">
        <v>2</v>
      </c>
      <c r="BR141">
        <v>0</v>
      </c>
      <c r="BS141">
        <v>0</v>
      </c>
      <c r="BT141">
        <v>0</v>
      </c>
      <c r="BU141">
        <v>25</v>
      </c>
      <c r="BV141">
        <v>0</v>
      </c>
      <c r="BW141">
        <v>0</v>
      </c>
      <c r="BX141">
        <v>0</v>
      </c>
      <c r="BY141">
        <v>1</v>
      </c>
      <c r="BZ141">
        <v>119</v>
      </c>
      <c r="CA141">
        <v>1</v>
      </c>
      <c r="CB141">
        <v>1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1</v>
      </c>
      <c r="CM141">
        <v>2</v>
      </c>
      <c r="CN141">
        <v>1</v>
      </c>
      <c r="CO141">
        <v>0</v>
      </c>
      <c r="CP141">
        <v>1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2</v>
      </c>
      <c r="CY141">
        <v>9</v>
      </c>
      <c r="CZ141">
        <v>7</v>
      </c>
      <c r="DA141">
        <v>0</v>
      </c>
      <c r="DB141">
        <v>1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9</v>
      </c>
      <c r="DK141">
        <v>5</v>
      </c>
      <c r="DL141">
        <v>1</v>
      </c>
      <c r="DM141">
        <v>2</v>
      </c>
      <c r="DN141">
        <v>0</v>
      </c>
      <c r="DO141">
        <v>0</v>
      </c>
      <c r="DP141">
        <v>1</v>
      </c>
      <c r="DQ141">
        <v>0</v>
      </c>
      <c r="DR141">
        <v>1</v>
      </c>
      <c r="DS141">
        <v>0</v>
      </c>
      <c r="DT141">
        <v>0</v>
      </c>
      <c r="DU141">
        <v>0</v>
      </c>
      <c r="DV141">
        <v>5</v>
      </c>
      <c r="DW141">
        <v>28</v>
      </c>
      <c r="DX141">
        <v>0</v>
      </c>
      <c r="DY141">
        <v>1</v>
      </c>
      <c r="DZ141">
        <v>0</v>
      </c>
      <c r="EA141">
        <v>0</v>
      </c>
      <c r="EB141">
        <v>1</v>
      </c>
      <c r="EC141">
        <v>0</v>
      </c>
      <c r="ED141">
        <v>0</v>
      </c>
      <c r="EE141">
        <v>0</v>
      </c>
      <c r="EF141">
        <v>0</v>
      </c>
      <c r="EG141">
        <v>26</v>
      </c>
      <c r="EH141">
        <v>28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</row>
    <row r="142" spans="1:172" ht="14.25">
      <c r="A142">
        <v>137</v>
      </c>
      <c r="B142" t="str">
        <f aca="true" t="shared" si="24" ref="B142:B150">"100708"</f>
        <v>100708</v>
      </c>
      <c r="C142" t="str">
        <f aca="true" t="shared" si="25" ref="C142:C150">"Żarnów"</f>
        <v>Żarnów</v>
      </c>
      <c r="D142" t="str">
        <f aca="true" t="shared" si="26" ref="D142:D150">"opoczyński"</f>
        <v>opoczyński</v>
      </c>
      <c r="E142" t="str">
        <f t="shared" si="23"/>
        <v>łódzkie</v>
      </c>
      <c r="F142">
        <v>1</v>
      </c>
      <c r="G142" t="str">
        <f>"Szkoła Podstawowa im. Juliana Bartoszewicza, ul. Przedborska 10, 26-330 Żarnów"</f>
        <v>Szkoła Podstawowa im. Juliana Bartoszewicza, ul. Przedborska 10, 26-330 Żarnów</v>
      </c>
      <c r="H142">
        <v>643</v>
      </c>
      <c r="I142">
        <v>643</v>
      </c>
      <c r="J142">
        <v>0</v>
      </c>
      <c r="K142">
        <v>450</v>
      </c>
      <c r="L142">
        <v>277</v>
      </c>
      <c r="M142">
        <v>173</v>
      </c>
      <c r="N142">
        <v>173</v>
      </c>
      <c r="O142">
        <v>0</v>
      </c>
      <c r="P142">
        <v>0</v>
      </c>
      <c r="Q142">
        <v>1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173</v>
      </c>
      <c r="Z142">
        <v>0</v>
      </c>
      <c r="AA142">
        <v>0</v>
      </c>
      <c r="AB142">
        <v>173</v>
      </c>
      <c r="AC142">
        <v>3</v>
      </c>
      <c r="AD142">
        <v>170</v>
      </c>
      <c r="AE142">
        <v>3</v>
      </c>
      <c r="AF142">
        <v>0</v>
      </c>
      <c r="AG142">
        <v>0</v>
      </c>
      <c r="AH142">
        <v>0</v>
      </c>
      <c r="AI142">
        <v>0</v>
      </c>
      <c r="AJ142">
        <v>2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3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5</v>
      </c>
      <c r="BD142">
        <v>3</v>
      </c>
      <c r="BE142">
        <v>0</v>
      </c>
      <c r="BF142">
        <v>0</v>
      </c>
      <c r="BG142">
        <v>1</v>
      </c>
      <c r="BH142">
        <v>0</v>
      </c>
      <c r="BI142">
        <v>1</v>
      </c>
      <c r="BJ142">
        <v>0</v>
      </c>
      <c r="BK142">
        <v>0</v>
      </c>
      <c r="BL142">
        <v>0</v>
      </c>
      <c r="BM142">
        <v>0</v>
      </c>
      <c r="BN142">
        <v>5</v>
      </c>
      <c r="BO142">
        <v>87</v>
      </c>
      <c r="BP142">
        <v>60</v>
      </c>
      <c r="BQ142">
        <v>0</v>
      </c>
      <c r="BR142">
        <v>1</v>
      </c>
      <c r="BS142">
        <v>0</v>
      </c>
      <c r="BT142">
        <v>0</v>
      </c>
      <c r="BU142">
        <v>26</v>
      </c>
      <c r="BV142">
        <v>0</v>
      </c>
      <c r="BW142">
        <v>0</v>
      </c>
      <c r="BX142">
        <v>0</v>
      </c>
      <c r="BY142">
        <v>0</v>
      </c>
      <c r="BZ142">
        <v>87</v>
      </c>
      <c r="CA142">
        <v>40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40</v>
      </c>
      <c r="CH142">
        <v>0</v>
      </c>
      <c r="CI142">
        <v>0</v>
      </c>
      <c r="CJ142">
        <v>0</v>
      </c>
      <c r="CK142">
        <v>0</v>
      </c>
      <c r="CL142">
        <v>40</v>
      </c>
      <c r="CM142">
        <v>1</v>
      </c>
      <c r="CN142">
        <v>1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1</v>
      </c>
      <c r="CY142">
        <v>3</v>
      </c>
      <c r="CZ142">
        <v>3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3</v>
      </c>
      <c r="DK142">
        <v>16</v>
      </c>
      <c r="DL142">
        <v>11</v>
      </c>
      <c r="DM142">
        <v>3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2</v>
      </c>
      <c r="DV142">
        <v>16</v>
      </c>
      <c r="DW142">
        <v>14</v>
      </c>
      <c r="DX142">
        <v>0</v>
      </c>
      <c r="DY142">
        <v>2</v>
      </c>
      <c r="DZ142">
        <v>0</v>
      </c>
      <c r="EA142">
        <v>0</v>
      </c>
      <c r="EB142">
        <v>0</v>
      </c>
      <c r="EC142">
        <v>0</v>
      </c>
      <c r="ED142">
        <v>1</v>
      </c>
      <c r="EE142">
        <v>0</v>
      </c>
      <c r="EF142">
        <v>0</v>
      </c>
      <c r="EG142">
        <v>11</v>
      </c>
      <c r="EH142">
        <v>14</v>
      </c>
      <c r="EI142">
        <v>1</v>
      </c>
      <c r="EJ142">
        <v>1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1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</row>
    <row r="143" spans="1:172" ht="14.25">
      <c r="A143">
        <v>138</v>
      </c>
      <c r="B143" t="str">
        <f t="shared" si="24"/>
        <v>100708</v>
      </c>
      <c r="C143" t="str">
        <f t="shared" si="25"/>
        <v>Żarnów</v>
      </c>
      <c r="D143" t="str">
        <f t="shared" si="26"/>
        <v>opoczyński</v>
      </c>
      <c r="E143" t="str">
        <f t="shared" si="23"/>
        <v>łódzkie</v>
      </c>
      <c r="F143">
        <v>2</v>
      </c>
      <c r="G143" t="str">
        <f>"Gimnazjum im. 25 pułku piechoty Armii Krajowej, ul. Polna 1, 26-330 Żarnów"</f>
        <v>Gimnazjum im. 25 pułku piechoty Armii Krajowej, ul. Polna 1, 26-330 Żarnów</v>
      </c>
      <c r="H143">
        <v>646</v>
      </c>
      <c r="I143">
        <v>646</v>
      </c>
      <c r="J143">
        <v>0</v>
      </c>
      <c r="K143">
        <v>450</v>
      </c>
      <c r="L143">
        <v>246</v>
      </c>
      <c r="M143">
        <v>204</v>
      </c>
      <c r="N143">
        <v>204</v>
      </c>
      <c r="O143">
        <v>0</v>
      </c>
      <c r="P143">
        <v>0</v>
      </c>
      <c r="Q143">
        <v>3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204</v>
      </c>
      <c r="Z143">
        <v>0</v>
      </c>
      <c r="AA143">
        <v>0</v>
      </c>
      <c r="AB143">
        <v>204</v>
      </c>
      <c r="AC143">
        <v>2</v>
      </c>
      <c r="AD143">
        <v>202</v>
      </c>
      <c r="AE143">
        <v>5</v>
      </c>
      <c r="AF143">
        <v>1</v>
      </c>
      <c r="AG143">
        <v>1</v>
      </c>
      <c r="AH143">
        <v>0</v>
      </c>
      <c r="AI143">
        <v>0</v>
      </c>
      <c r="AJ143">
        <v>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5</v>
      </c>
      <c r="AQ143">
        <v>3</v>
      </c>
      <c r="AR143">
        <v>2</v>
      </c>
      <c r="AS143">
        <v>0</v>
      </c>
      <c r="AT143">
        <v>0</v>
      </c>
      <c r="AU143">
        <v>0</v>
      </c>
      <c r="AV143">
        <v>1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3</v>
      </c>
      <c r="BC143">
        <v>2</v>
      </c>
      <c r="BD143">
        <v>1</v>
      </c>
      <c r="BE143">
        <v>1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2</v>
      </c>
      <c r="BO143">
        <v>93</v>
      </c>
      <c r="BP143">
        <v>53</v>
      </c>
      <c r="BQ143">
        <v>4</v>
      </c>
      <c r="BR143">
        <v>0</v>
      </c>
      <c r="BS143">
        <v>2</v>
      </c>
      <c r="BT143">
        <v>0</v>
      </c>
      <c r="BU143">
        <v>34</v>
      </c>
      <c r="BV143">
        <v>0</v>
      </c>
      <c r="BW143">
        <v>0</v>
      </c>
      <c r="BX143">
        <v>0</v>
      </c>
      <c r="BY143">
        <v>0</v>
      </c>
      <c r="BZ143">
        <v>93</v>
      </c>
      <c r="CA143">
        <v>38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38</v>
      </c>
      <c r="CH143">
        <v>0</v>
      </c>
      <c r="CI143">
        <v>0</v>
      </c>
      <c r="CJ143">
        <v>0</v>
      </c>
      <c r="CK143">
        <v>0</v>
      </c>
      <c r="CL143">
        <v>38</v>
      </c>
      <c r="CM143">
        <v>7</v>
      </c>
      <c r="CN143">
        <v>6</v>
      </c>
      <c r="CO143">
        <v>0</v>
      </c>
      <c r="CP143">
        <v>1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7</v>
      </c>
      <c r="CY143">
        <v>9</v>
      </c>
      <c r="CZ143">
        <v>5</v>
      </c>
      <c r="DA143">
        <v>0</v>
      </c>
      <c r="DB143">
        <v>0</v>
      </c>
      <c r="DC143">
        <v>1</v>
      </c>
      <c r="DD143">
        <v>0</v>
      </c>
      <c r="DE143">
        <v>2</v>
      </c>
      <c r="DF143">
        <v>1</v>
      </c>
      <c r="DG143">
        <v>0</v>
      </c>
      <c r="DH143">
        <v>0</v>
      </c>
      <c r="DI143">
        <v>0</v>
      </c>
      <c r="DJ143">
        <v>9</v>
      </c>
      <c r="DK143">
        <v>13</v>
      </c>
      <c r="DL143">
        <v>10</v>
      </c>
      <c r="DM143">
        <v>3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13</v>
      </c>
      <c r="DW143">
        <v>32</v>
      </c>
      <c r="DX143">
        <v>0</v>
      </c>
      <c r="DY143">
        <v>1</v>
      </c>
      <c r="DZ143">
        <v>0</v>
      </c>
      <c r="EA143">
        <v>2</v>
      </c>
      <c r="EB143">
        <v>0</v>
      </c>
      <c r="EC143">
        <v>2</v>
      </c>
      <c r="ED143">
        <v>0</v>
      </c>
      <c r="EE143">
        <v>0</v>
      </c>
      <c r="EF143">
        <v>0</v>
      </c>
      <c r="EG143">
        <v>27</v>
      </c>
      <c r="EH143">
        <v>32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</row>
    <row r="144" spans="1:172" ht="14.25">
      <c r="A144">
        <v>139</v>
      </c>
      <c r="B144" t="str">
        <f t="shared" si="24"/>
        <v>100708</v>
      </c>
      <c r="C144" t="str">
        <f t="shared" si="25"/>
        <v>Żarnów</v>
      </c>
      <c r="D144" t="str">
        <f t="shared" si="26"/>
        <v>opoczyński</v>
      </c>
      <c r="E144" t="str">
        <f t="shared" si="23"/>
        <v>łódzkie</v>
      </c>
      <c r="F144">
        <v>3</v>
      </c>
      <c r="G144" t="str">
        <f>"Dom Kultury w Żarnowie, ul. Opoczyńska 5, 26-330 Żarnów"</f>
        <v>Dom Kultury w Żarnowie, ul. Opoczyńska 5, 26-330 Żarnów</v>
      </c>
      <c r="H144">
        <v>654</v>
      </c>
      <c r="I144">
        <v>654</v>
      </c>
      <c r="J144">
        <v>0</v>
      </c>
      <c r="K144">
        <v>460</v>
      </c>
      <c r="L144">
        <v>290</v>
      </c>
      <c r="M144">
        <v>170</v>
      </c>
      <c r="N144">
        <v>170</v>
      </c>
      <c r="O144">
        <v>0</v>
      </c>
      <c r="P144">
        <v>0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170</v>
      </c>
      <c r="Z144">
        <v>0</v>
      </c>
      <c r="AA144">
        <v>0</v>
      </c>
      <c r="AB144">
        <v>170</v>
      </c>
      <c r="AC144">
        <v>4</v>
      </c>
      <c r="AD144">
        <v>166</v>
      </c>
      <c r="AE144">
        <v>4</v>
      </c>
      <c r="AF144">
        <v>0</v>
      </c>
      <c r="AG144">
        <v>1</v>
      </c>
      <c r="AH144">
        <v>0</v>
      </c>
      <c r="AI144">
        <v>0</v>
      </c>
      <c r="AJ144">
        <v>3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4</v>
      </c>
      <c r="AQ144">
        <v>2</v>
      </c>
      <c r="AR144">
        <v>2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2</v>
      </c>
      <c r="BC144">
        <v>2</v>
      </c>
      <c r="BD144">
        <v>2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2</v>
      </c>
      <c r="BO144">
        <v>115</v>
      </c>
      <c r="BP144">
        <v>82</v>
      </c>
      <c r="BQ144">
        <v>1</v>
      </c>
      <c r="BR144">
        <v>0</v>
      </c>
      <c r="BS144">
        <v>0</v>
      </c>
      <c r="BT144">
        <v>0</v>
      </c>
      <c r="BU144">
        <v>32</v>
      </c>
      <c r="BV144">
        <v>0</v>
      </c>
      <c r="BW144">
        <v>0</v>
      </c>
      <c r="BX144">
        <v>0</v>
      </c>
      <c r="BY144">
        <v>0</v>
      </c>
      <c r="BZ144">
        <v>115</v>
      </c>
      <c r="CA144">
        <v>12</v>
      </c>
      <c r="CB144">
        <v>0</v>
      </c>
      <c r="CC144">
        <v>0</v>
      </c>
      <c r="CD144">
        <v>1</v>
      </c>
      <c r="CE144">
        <v>0</v>
      </c>
      <c r="CF144">
        <v>0</v>
      </c>
      <c r="CG144">
        <v>11</v>
      </c>
      <c r="CH144">
        <v>0</v>
      </c>
      <c r="CI144">
        <v>0</v>
      </c>
      <c r="CJ144">
        <v>0</v>
      </c>
      <c r="CK144">
        <v>0</v>
      </c>
      <c r="CL144">
        <v>12</v>
      </c>
      <c r="CM144">
        <v>2</v>
      </c>
      <c r="CN144">
        <v>2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2</v>
      </c>
      <c r="CY144">
        <v>7</v>
      </c>
      <c r="CZ144">
        <v>7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7</v>
      </c>
      <c r="DK144">
        <v>5</v>
      </c>
      <c r="DL144">
        <v>2</v>
      </c>
      <c r="DM144">
        <v>1</v>
      </c>
      <c r="DN144">
        <v>1</v>
      </c>
      <c r="DO144">
        <v>1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5</v>
      </c>
      <c r="DW144">
        <v>17</v>
      </c>
      <c r="DX144">
        <v>0</v>
      </c>
      <c r="DY144">
        <v>5</v>
      </c>
      <c r="DZ144">
        <v>0</v>
      </c>
      <c r="EA144">
        <v>0</v>
      </c>
      <c r="EB144">
        <v>0</v>
      </c>
      <c r="EC144">
        <v>0</v>
      </c>
      <c r="ED144">
        <v>1</v>
      </c>
      <c r="EE144">
        <v>0</v>
      </c>
      <c r="EF144">
        <v>0</v>
      </c>
      <c r="EG144">
        <v>11</v>
      </c>
      <c r="EH144">
        <v>17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</row>
    <row r="145" spans="1:172" ht="14.25">
      <c r="A145">
        <v>140</v>
      </c>
      <c r="B145" t="str">
        <f t="shared" si="24"/>
        <v>100708</v>
      </c>
      <c r="C145" t="str">
        <f t="shared" si="25"/>
        <v>Żarnów</v>
      </c>
      <c r="D145" t="str">
        <f t="shared" si="26"/>
        <v>opoczyński</v>
      </c>
      <c r="E145" t="str">
        <f t="shared" si="23"/>
        <v>łódzkie</v>
      </c>
      <c r="F145">
        <v>4</v>
      </c>
      <c r="G145" t="str">
        <f>"Remiza Ochotniczej Straży Pożarnej, Chełsty 39, 26-330 Żarnów"</f>
        <v>Remiza Ochotniczej Straży Pożarnej, Chełsty 39, 26-330 Żarnów</v>
      </c>
      <c r="H145">
        <v>367</v>
      </c>
      <c r="I145">
        <v>367</v>
      </c>
      <c r="J145">
        <v>0</v>
      </c>
      <c r="K145">
        <v>260</v>
      </c>
      <c r="L145">
        <v>174</v>
      </c>
      <c r="M145">
        <v>86</v>
      </c>
      <c r="N145">
        <v>86</v>
      </c>
      <c r="O145">
        <v>0</v>
      </c>
      <c r="P145">
        <v>0</v>
      </c>
      <c r="Q145">
        <v>2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86</v>
      </c>
      <c r="Z145">
        <v>0</v>
      </c>
      <c r="AA145">
        <v>0</v>
      </c>
      <c r="AB145">
        <v>86</v>
      </c>
      <c r="AC145">
        <v>5</v>
      </c>
      <c r="AD145">
        <v>81</v>
      </c>
      <c r="AE145">
        <v>2</v>
      </c>
      <c r="AF145">
        <v>1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1</v>
      </c>
      <c r="AP145">
        <v>2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2</v>
      </c>
      <c r="BD145">
        <v>0</v>
      </c>
      <c r="BE145">
        <v>1</v>
      </c>
      <c r="BF145">
        <v>0</v>
      </c>
      <c r="BG145">
        <v>1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2</v>
      </c>
      <c r="BO145">
        <v>44</v>
      </c>
      <c r="BP145">
        <v>24</v>
      </c>
      <c r="BQ145">
        <v>1</v>
      </c>
      <c r="BR145">
        <v>1</v>
      </c>
      <c r="BS145">
        <v>0</v>
      </c>
      <c r="BT145">
        <v>0</v>
      </c>
      <c r="BU145">
        <v>18</v>
      </c>
      <c r="BV145">
        <v>0</v>
      </c>
      <c r="BW145">
        <v>0</v>
      </c>
      <c r="BX145">
        <v>0</v>
      </c>
      <c r="BY145">
        <v>0</v>
      </c>
      <c r="BZ145">
        <v>44</v>
      </c>
      <c r="CA145">
        <v>21</v>
      </c>
      <c r="CB145">
        <v>0</v>
      </c>
      <c r="CC145">
        <v>1</v>
      </c>
      <c r="CD145">
        <v>0</v>
      </c>
      <c r="CE145">
        <v>0</v>
      </c>
      <c r="CF145">
        <v>0</v>
      </c>
      <c r="CG145">
        <v>20</v>
      </c>
      <c r="CH145">
        <v>0</v>
      </c>
      <c r="CI145">
        <v>0</v>
      </c>
      <c r="CJ145">
        <v>0</v>
      </c>
      <c r="CK145">
        <v>0</v>
      </c>
      <c r="CL145">
        <v>21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1</v>
      </c>
      <c r="CZ145">
        <v>0</v>
      </c>
      <c r="DA145">
        <v>1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1</v>
      </c>
      <c r="DK145">
        <v>9</v>
      </c>
      <c r="DL145">
        <v>4</v>
      </c>
      <c r="DM145">
        <v>3</v>
      </c>
      <c r="DN145">
        <v>2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9</v>
      </c>
      <c r="DW145">
        <v>2</v>
      </c>
      <c r="DX145">
        <v>0</v>
      </c>
      <c r="DY145">
        <v>2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2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</row>
    <row r="146" spans="1:172" ht="14.25">
      <c r="A146">
        <v>141</v>
      </c>
      <c r="B146" t="str">
        <f t="shared" si="24"/>
        <v>100708</v>
      </c>
      <c r="C146" t="str">
        <f t="shared" si="25"/>
        <v>Żarnów</v>
      </c>
      <c r="D146" t="str">
        <f t="shared" si="26"/>
        <v>opoczyński</v>
      </c>
      <c r="E146" t="str">
        <f t="shared" si="23"/>
        <v>łódzkie</v>
      </c>
      <c r="F146">
        <v>5</v>
      </c>
      <c r="G146" t="str">
        <f>"Remiza Ochotniczej Straży Pożarnej w Skórkowicach, Skórkowice 95, 26-330 Żarnów"</f>
        <v>Remiza Ochotniczej Straży Pożarnej w Skórkowicach, Skórkowice 95, 26-330 Żarnów</v>
      </c>
      <c r="H146">
        <v>766</v>
      </c>
      <c r="I146">
        <v>766</v>
      </c>
      <c r="J146">
        <v>0</v>
      </c>
      <c r="K146">
        <v>540</v>
      </c>
      <c r="L146">
        <v>415</v>
      </c>
      <c r="M146">
        <v>125</v>
      </c>
      <c r="N146">
        <v>125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125</v>
      </c>
      <c r="Z146">
        <v>0</v>
      </c>
      <c r="AA146">
        <v>0</v>
      </c>
      <c r="AB146">
        <v>125</v>
      </c>
      <c r="AC146">
        <v>4</v>
      </c>
      <c r="AD146">
        <v>121</v>
      </c>
      <c r="AE146">
        <v>2</v>
      </c>
      <c r="AF146">
        <v>2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2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10</v>
      </c>
      <c r="BD146">
        <v>7</v>
      </c>
      <c r="BE146">
        <v>0</v>
      </c>
      <c r="BF146">
        <v>0</v>
      </c>
      <c r="BG146">
        <v>0</v>
      </c>
      <c r="BH146">
        <v>2</v>
      </c>
      <c r="BI146">
        <v>0</v>
      </c>
      <c r="BJ146">
        <v>0</v>
      </c>
      <c r="BK146">
        <v>0</v>
      </c>
      <c r="BL146">
        <v>1</v>
      </c>
      <c r="BM146">
        <v>0</v>
      </c>
      <c r="BN146">
        <v>10</v>
      </c>
      <c r="BO146">
        <v>60</v>
      </c>
      <c r="BP146">
        <v>42</v>
      </c>
      <c r="BQ146">
        <v>1</v>
      </c>
      <c r="BR146">
        <v>2</v>
      </c>
      <c r="BS146">
        <v>0</v>
      </c>
      <c r="BT146">
        <v>0</v>
      </c>
      <c r="BU146">
        <v>14</v>
      </c>
      <c r="BV146">
        <v>0</v>
      </c>
      <c r="BW146">
        <v>0</v>
      </c>
      <c r="BX146">
        <v>1</v>
      </c>
      <c r="BY146">
        <v>0</v>
      </c>
      <c r="BZ146">
        <v>60</v>
      </c>
      <c r="CA146">
        <v>26</v>
      </c>
      <c r="CB146">
        <v>1</v>
      </c>
      <c r="CC146">
        <v>0</v>
      </c>
      <c r="CD146">
        <v>0</v>
      </c>
      <c r="CE146">
        <v>0</v>
      </c>
      <c r="CF146">
        <v>0</v>
      </c>
      <c r="CG146">
        <v>25</v>
      </c>
      <c r="CH146">
        <v>0</v>
      </c>
      <c r="CI146">
        <v>0</v>
      </c>
      <c r="CJ146">
        <v>0</v>
      </c>
      <c r="CK146">
        <v>0</v>
      </c>
      <c r="CL146">
        <v>26</v>
      </c>
      <c r="CM146">
        <v>1</v>
      </c>
      <c r="CN146">
        <v>0</v>
      </c>
      <c r="CO146">
        <v>1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1</v>
      </c>
      <c r="CY146">
        <v>6</v>
      </c>
      <c r="CZ146">
        <v>3</v>
      </c>
      <c r="DA146">
        <v>0</v>
      </c>
      <c r="DB146">
        <v>1</v>
      </c>
      <c r="DC146">
        <v>0</v>
      </c>
      <c r="DD146">
        <v>0</v>
      </c>
      <c r="DE146">
        <v>0</v>
      </c>
      <c r="DF146">
        <v>1</v>
      </c>
      <c r="DG146">
        <v>0</v>
      </c>
      <c r="DH146">
        <v>1</v>
      </c>
      <c r="DI146">
        <v>0</v>
      </c>
      <c r="DJ146">
        <v>6</v>
      </c>
      <c r="DK146">
        <v>6</v>
      </c>
      <c r="DL146">
        <v>4</v>
      </c>
      <c r="DM146">
        <v>2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6</v>
      </c>
      <c r="DW146">
        <v>10</v>
      </c>
      <c r="DX146">
        <v>2</v>
      </c>
      <c r="DY146">
        <v>1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7</v>
      </c>
      <c r="EH146">
        <v>10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</row>
    <row r="147" spans="1:172" ht="14.25">
      <c r="A147">
        <v>142</v>
      </c>
      <c r="B147" t="str">
        <f t="shared" si="24"/>
        <v>100708</v>
      </c>
      <c r="C147" t="str">
        <f t="shared" si="25"/>
        <v>Żarnów</v>
      </c>
      <c r="D147" t="str">
        <f t="shared" si="26"/>
        <v>opoczyński</v>
      </c>
      <c r="E147" t="str">
        <f t="shared" si="23"/>
        <v>łódzkie</v>
      </c>
      <c r="F147">
        <v>6</v>
      </c>
      <c r="G147" t="str">
        <f>"Dom Ludowy w Soczówkach, Soczówki 71A, 26-330 Żarnów"</f>
        <v>Dom Ludowy w Soczówkach, Soczówki 71A, 26-330 Żarnów</v>
      </c>
      <c r="H147">
        <v>562</v>
      </c>
      <c r="I147">
        <v>562</v>
      </c>
      <c r="J147">
        <v>0</v>
      </c>
      <c r="K147">
        <v>400</v>
      </c>
      <c r="L147">
        <v>323</v>
      </c>
      <c r="M147">
        <v>77</v>
      </c>
      <c r="N147">
        <v>77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77</v>
      </c>
      <c r="Z147">
        <v>0</v>
      </c>
      <c r="AA147">
        <v>0</v>
      </c>
      <c r="AB147">
        <v>77</v>
      </c>
      <c r="AC147">
        <v>6</v>
      </c>
      <c r="AD147">
        <v>71</v>
      </c>
      <c r="AE147">
        <v>2</v>
      </c>
      <c r="AF147">
        <v>1</v>
      </c>
      <c r="AG147">
        <v>0</v>
      </c>
      <c r="AH147">
        <v>1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2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5</v>
      </c>
      <c r="BD147">
        <v>0</v>
      </c>
      <c r="BE147">
        <v>0</v>
      </c>
      <c r="BF147">
        <v>0</v>
      </c>
      <c r="BG147">
        <v>0</v>
      </c>
      <c r="BH147">
        <v>2</v>
      </c>
      <c r="BI147">
        <v>1</v>
      </c>
      <c r="BJ147">
        <v>0</v>
      </c>
      <c r="BK147">
        <v>0</v>
      </c>
      <c r="BL147">
        <v>0</v>
      </c>
      <c r="BM147">
        <v>2</v>
      </c>
      <c r="BN147">
        <v>5</v>
      </c>
      <c r="BO147">
        <v>37</v>
      </c>
      <c r="BP147">
        <v>22</v>
      </c>
      <c r="BQ147">
        <v>1</v>
      </c>
      <c r="BR147">
        <v>1</v>
      </c>
      <c r="BS147">
        <v>0</v>
      </c>
      <c r="BT147">
        <v>0</v>
      </c>
      <c r="BU147">
        <v>13</v>
      </c>
      <c r="BV147">
        <v>0</v>
      </c>
      <c r="BW147">
        <v>0</v>
      </c>
      <c r="BX147">
        <v>0</v>
      </c>
      <c r="BY147">
        <v>0</v>
      </c>
      <c r="BZ147">
        <v>37</v>
      </c>
      <c r="CA147">
        <v>8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8</v>
      </c>
      <c r="CH147">
        <v>0</v>
      </c>
      <c r="CI147">
        <v>0</v>
      </c>
      <c r="CJ147">
        <v>0</v>
      </c>
      <c r="CK147">
        <v>0</v>
      </c>
      <c r="CL147">
        <v>8</v>
      </c>
      <c r="CM147">
        <v>3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2</v>
      </c>
      <c r="CT147">
        <v>0</v>
      </c>
      <c r="CU147">
        <v>0</v>
      </c>
      <c r="CV147">
        <v>0</v>
      </c>
      <c r="CW147">
        <v>0</v>
      </c>
      <c r="CX147">
        <v>3</v>
      </c>
      <c r="CY147">
        <v>5</v>
      </c>
      <c r="CZ147">
        <v>3</v>
      </c>
      <c r="DA147">
        <v>1</v>
      </c>
      <c r="DB147">
        <v>0</v>
      </c>
      <c r="DC147">
        <v>0</v>
      </c>
      <c r="DD147">
        <v>0</v>
      </c>
      <c r="DE147">
        <v>0</v>
      </c>
      <c r="DF147">
        <v>1</v>
      </c>
      <c r="DG147">
        <v>0</v>
      </c>
      <c r="DH147">
        <v>0</v>
      </c>
      <c r="DI147">
        <v>0</v>
      </c>
      <c r="DJ147">
        <v>5</v>
      </c>
      <c r="DK147">
        <v>2</v>
      </c>
      <c r="DL147">
        <v>2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2</v>
      </c>
      <c r="DW147">
        <v>9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1</v>
      </c>
      <c r="EE147">
        <v>0</v>
      </c>
      <c r="EF147">
        <v>0</v>
      </c>
      <c r="EG147">
        <v>8</v>
      </c>
      <c r="EH147">
        <v>9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</row>
    <row r="148" spans="1:172" ht="14.25">
      <c r="A148">
        <v>143</v>
      </c>
      <c r="B148" t="str">
        <f t="shared" si="24"/>
        <v>100708</v>
      </c>
      <c r="C148" t="str">
        <f t="shared" si="25"/>
        <v>Żarnów</v>
      </c>
      <c r="D148" t="str">
        <f t="shared" si="26"/>
        <v>opoczyński</v>
      </c>
      <c r="E148" t="str">
        <f t="shared" si="23"/>
        <v>łódzkie</v>
      </c>
      <c r="F148">
        <v>7</v>
      </c>
      <c r="G148" t="str">
        <f>"Wiejski Dom Kultury, ul. Główna 2, Miedzna Murowana, 26-330 Żarnów"</f>
        <v>Wiejski Dom Kultury, ul. Główna 2, Miedzna Murowana, 26-330 Żarnów</v>
      </c>
      <c r="H148">
        <v>772</v>
      </c>
      <c r="I148">
        <v>772</v>
      </c>
      <c r="J148">
        <v>0</v>
      </c>
      <c r="K148">
        <v>550</v>
      </c>
      <c r="L148">
        <v>378</v>
      </c>
      <c r="M148">
        <v>172</v>
      </c>
      <c r="N148">
        <v>172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172</v>
      </c>
      <c r="Z148">
        <v>0</v>
      </c>
      <c r="AA148">
        <v>0</v>
      </c>
      <c r="AB148">
        <v>172</v>
      </c>
      <c r="AC148">
        <v>3</v>
      </c>
      <c r="AD148">
        <v>169</v>
      </c>
      <c r="AE148">
        <v>2</v>
      </c>
      <c r="AF148">
        <v>1</v>
      </c>
      <c r="AG148">
        <v>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2</v>
      </c>
      <c r="AQ148">
        <v>3</v>
      </c>
      <c r="AR148">
        <v>3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3</v>
      </c>
      <c r="BC148">
        <v>9</v>
      </c>
      <c r="BD148">
        <v>8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1</v>
      </c>
      <c r="BM148">
        <v>0</v>
      </c>
      <c r="BN148">
        <v>9</v>
      </c>
      <c r="BO148">
        <v>101</v>
      </c>
      <c r="BP148">
        <v>37</v>
      </c>
      <c r="BQ148">
        <v>1</v>
      </c>
      <c r="BR148">
        <v>0</v>
      </c>
      <c r="BS148">
        <v>0</v>
      </c>
      <c r="BT148">
        <v>0</v>
      </c>
      <c r="BU148">
        <v>60</v>
      </c>
      <c r="BV148">
        <v>0</v>
      </c>
      <c r="BW148">
        <v>1</v>
      </c>
      <c r="BX148">
        <v>1</v>
      </c>
      <c r="BY148">
        <v>1</v>
      </c>
      <c r="BZ148">
        <v>101</v>
      </c>
      <c r="CA148">
        <v>7</v>
      </c>
      <c r="CB148">
        <v>1</v>
      </c>
      <c r="CC148">
        <v>0</v>
      </c>
      <c r="CD148">
        <v>0</v>
      </c>
      <c r="CE148">
        <v>0</v>
      </c>
      <c r="CF148">
        <v>0</v>
      </c>
      <c r="CG148">
        <v>6</v>
      </c>
      <c r="CH148">
        <v>0</v>
      </c>
      <c r="CI148">
        <v>0</v>
      </c>
      <c r="CJ148">
        <v>0</v>
      </c>
      <c r="CK148">
        <v>0</v>
      </c>
      <c r="CL148">
        <v>7</v>
      </c>
      <c r="CM148">
        <v>1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1</v>
      </c>
      <c r="CX148">
        <v>1</v>
      </c>
      <c r="CY148">
        <v>7</v>
      </c>
      <c r="CZ148">
        <v>5</v>
      </c>
      <c r="DA148">
        <v>1</v>
      </c>
      <c r="DB148">
        <v>0</v>
      </c>
      <c r="DC148">
        <v>1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7</v>
      </c>
      <c r="DK148">
        <v>18</v>
      </c>
      <c r="DL148">
        <v>14</v>
      </c>
      <c r="DM148">
        <v>1</v>
      </c>
      <c r="DN148">
        <v>0</v>
      </c>
      <c r="DO148">
        <v>3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18</v>
      </c>
      <c r="DW148">
        <v>21</v>
      </c>
      <c r="DX148">
        <v>0</v>
      </c>
      <c r="DY148">
        <v>4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17</v>
      </c>
      <c r="EH148">
        <v>21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</row>
    <row r="149" spans="1:172" ht="14.25">
      <c r="A149">
        <v>144</v>
      </c>
      <c r="B149" t="str">
        <f t="shared" si="24"/>
        <v>100708</v>
      </c>
      <c r="C149" t="str">
        <f t="shared" si="25"/>
        <v>Żarnów</v>
      </c>
      <c r="D149" t="str">
        <f t="shared" si="26"/>
        <v>opoczyński</v>
      </c>
      <c r="E149" t="str">
        <f t="shared" si="23"/>
        <v>łódzkie</v>
      </c>
      <c r="F149">
        <v>8</v>
      </c>
      <c r="G149" t="str">
        <f>"Remiza Ochotniczej Straży Pożarnej w Zdyszewicach, Zdyszewice 43A, 26-330 Żarnów"</f>
        <v>Remiza Ochotniczej Straży Pożarnej w Zdyszewicach, Zdyszewice 43A, 26-330 Żarnów</v>
      </c>
      <c r="H149">
        <v>585</v>
      </c>
      <c r="I149">
        <v>585</v>
      </c>
      <c r="J149">
        <v>0</v>
      </c>
      <c r="K149">
        <v>410</v>
      </c>
      <c r="L149">
        <v>296</v>
      </c>
      <c r="M149">
        <v>114</v>
      </c>
      <c r="N149">
        <v>114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114</v>
      </c>
      <c r="Z149">
        <v>0</v>
      </c>
      <c r="AA149">
        <v>0</v>
      </c>
      <c r="AB149">
        <v>114</v>
      </c>
      <c r="AC149">
        <v>3</v>
      </c>
      <c r="AD149">
        <v>111</v>
      </c>
      <c r="AE149">
        <v>3</v>
      </c>
      <c r="AF149">
        <v>1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1</v>
      </c>
      <c r="AO149">
        <v>1</v>
      </c>
      <c r="AP149">
        <v>3</v>
      </c>
      <c r="AQ149">
        <v>1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1</v>
      </c>
      <c r="BB149">
        <v>1</v>
      </c>
      <c r="BC149">
        <v>4</v>
      </c>
      <c r="BD149">
        <v>1</v>
      </c>
      <c r="BE149">
        <v>0</v>
      </c>
      <c r="BF149">
        <v>1</v>
      </c>
      <c r="BG149">
        <v>0</v>
      </c>
      <c r="BH149">
        <v>1</v>
      </c>
      <c r="BI149">
        <v>0</v>
      </c>
      <c r="BJ149">
        <v>0</v>
      </c>
      <c r="BK149">
        <v>0</v>
      </c>
      <c r="BL149">
        <v>0</v>
      </c>
      <c r="BM149">
        <v>1</v>
      </c>
      <c r="BN149">
        <v>4</v>
      </c>
      <c r="BO149">
        <v>72</v>
      </c>
      <c r="BP149">
        <v>61</v>
      </c>
      <c r="BQ149">
        <v>2</v>
      </c>
      <c r="BR149">
        <v>1</v>
      </c>
      <c r="BS149">
        <v>0</v>
      </c>
      <c r="BT149">
        <v>0</v>
      </c>
      <c r="BU149">
        <v>8</v>
      </c>
      <c r="BV149">
        <v>0</v>
      </c>
      <c r="BW149">
        <v>0</v>
      </c>
      <c r="BX149">
        <v>0</v>
      </c>
      <c r="BY149">
        <v>0</v>
      </c>
      <c r="BZ149">
        <v>72</v>
      </c>
      <c r="CA149">
        <v>16</v>
      </c>
      <c r="CB149">
        <v>1</v>
      </c>
      <c r="CC149">
        <v>0</v>
      </c>
      <c r="CD149">
        <v>0</v>
      </c>
      <c r="CE149">
        <v>0</v>
      </c>
      <c r="CF149">
        <v>0</v>
      </c>
      <c r="CG149">
        <v>15</v>
      </c>
      <c r="CH149">
        <v>0</v>
      </c>
      <c r="CI149">
        <v>0</v>
      </c>
      <c r="CJ149">
        <v>0</v>
      </c>
      <c r="CK149">
        <v>0</v>
      </c>
      <c r="CL149">
        <v>16</v>
      </c>
      <c r="CM149">
        <v>2</v>
      </c>
      <c r="CN149">
        <v>2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2</v>
      </c>
      <c r="CY149">
        <v>1</v>
      </c>
      <c r="CZ149">
        <v>1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1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12</v>
      </c>
      <c r="DX149">
        <v>0</v>
      </c>
      <c r="DY149">
        <v>1</v>
      </c>
      <c r="DZ149">
        <v>0</v>
      </c>
      <c r="EA149">
        <v>0</v>
      </c>
      <c r="EB149">
        <v>0</v>
      </c>
      <c r="EC149">
        <v>0</v>
      </c>
      <c r="ED149">
        <v>1</v>
      </c>
      <c r="EE149">
        <v>0</v>
      </c>
      <c r="EF149">
        <v>0</v>
      </c>
      <c r="EG149">
        <v>10</v>
      </c>
      <c r="EH149">
        <v>12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</row>
    <row r="150" spans="1:172" ht="14.25">
      <c r="A150">
        <v>145</v>
      </c>
      <c r="B150" t="str">
        <f t="shared" si="24"/>
        <v>100708</v>
      </c>
      <c r="C150" t="str">
        <f t="shared" si="25"/>
        <v>Żarnów</v>
      </c>
      <c r="D150" t="str">
        <f t="shared" si="26"/>
        <v>opoczyński</v>
      </c>
      <c r="E150" t="str">
        <f t="shared" si="23"/>
        <v>łódzkie</v>
      </c>
      <c r="F150">
        <v>9</v>
      </c>
      <c r="G150" t="str">
        <f>"Dom Pomocy Społecznej w Niemojowicach, Niemojowice 68, 26-330 Żarnów"</f>
        <v>Dom Pomocy Społecznej w Niemojowicach, Niemojowice 68, 26-330 Żarnów</v>
      </c>
      <c r="H150">
        <v>72</v>
      </c>
      <c r="I150">
        <v>72</v>
      </c>
      <c r="J150">
        <v>0</v>
      </c>
      <c r="K150">
        <v>59</v>
      </c>
      <c r="L150">
        <v>31</v>
      </c>
      <c r="M150">
        <v>28</v>
      </c>
      <c r="N150">
        <v>28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28</v>
      </c>
      <c r="Z150">
        <v>0</v>
      </c>
      <c r="AA150">
        <v>0</v>
      </c>
      <c r="AB150">
        <v>28</v>
      </c>
      <c r="AC150">
        <v>4</v>
      </c>
      <c r="AD150">
        <v>24</v>
      </c>
      <c r="AE150">
        <v>6</v>
      </c>
      <c r="AF150">
        <v>1</v>
      </c>
      <c r="AG150">
        <v>1</v>
      </c>
      <c r="AH150">
        <v>2</v>
      </c>
      <c r="AI150">
        <v>0</v>
      </c>
      <c r="AJ150">
        <v>1</v>
      </c>
      <c r="AK150">
        <v>0</v>
      </c>
      <c r="AL150">
        <v>0</v>
      </c>
      <c r="AM150">
        <v>0</v>
      </c>
      <c r="AN150">
        <v>0</v>
      </c>
      <c r="AO150">
        <v>1</v>
      </c>
      <c r="AP150">
        <v>6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3</v>
      </c>
      <c r="BD150">
        <v>2</v>
      </c>
      <c r="BE150">
        <v>0</v>
      </c>
      <c r="BF150">
        <v>0</v>
      </c>
      <c r="BG150">
        <v>0</v>
      </c>
      <c r="BH150">
        <v>0</v>
      </c>
      <c r="BI150">
        <v>1</v>
      </c>
      <c r="BJ150">
        <v>0</v>
      </c>
      <c r="BK150">
        <v>0</v>
      </c>
      <c r="BL150">
        <v>0</v>
      </c>
      <c r="BM150">
        <v>0</v>
      </c>
      <c r="BN150">
        <v>3</v>
      </c>
      <c r="BO150">
        <v>6</v>
      </c>
      <c r="BP150">
        <v>4</v>
      </c>
      <c r="BQ150">
        <v>1</v>
      </c>
      <c r="BR150">
        <v>0</v>
      </c>
      <c r="BS150">
        <v>0</v>
      </c>
      <c r="BT150">
        <v>0</v>
      </c>
      <c r="BU150">
        <v>1</v>
      </c>
      <c r="BV150">
        <v>0</v>
      </c>
      <c r="BW150">
        <v>0</v>
      </c>
      <c r="BX150">
        <v>0</v>
      </c>
      <c r="BY150">
        <v>0</v>
      </c>
      <c r="BZ150">
        <v>6</v>
      </c>
      <c r="CA150">
        <v>2</v>
      </c>
      <c r="CB150">
        <v>0</v>
      </c>
      <c r="CC150">
        <v>1</v>
      </c>
      <c r="CD150">
        <v>0</v>
      </c>
      <c r="CE150">
        <v>0</v>
      </c>
      <c r="CF150">
        <v>0</v>
      </c>
      <c r="CG150">
        <v>1</v>
      </c>
      <c r="CH150">
        <v>0</v>
      </c>
      <c r="CI150">
        <v>0</v>
      </c>
      <c r="CJ150">
        <v>0</v>
      </c>
      <c r="CK150">
        <v>0</v>
      </c>
      <c r="CL150">
        <v>2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4</v>
      </c>
      <c r="DL150">
        <v>0</v>
      </c>
      <c r="DM150">
        <v>0</v>
      </c>
      <c r="DN150">
        <v>0</v>
      </c>
      <c r="DO150">
        <v>0</v>
      </c>
      <c r="DP150">
        <v>2</v>
      </c>
      <c r="DQ150">
        <v>0</v>
      </c>
      <c r="DR150">
        <v>0</v>
      </c>
      <c r="DS150">
        <v>1</v>
      </c>
      <c r="DT150">
        <v>0</v>
      </c>
      <c r="DU150">
        <v>1</v>
      </c>
      <c r="DV150">
        <v>4</v>
      </c>
      <c r="DW150">
        <v>3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3</v>
      </c>
      <c r="EH150">
        <v>3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</row>
    <row r="151" spans="1:172" ht="14.25">
      <c r="A151">
        <v>146</v>
      </c>
      <c r="B151" t="str">
        <f>"101001"</f>
        <v>101001</v>
      </c>
      <c r="C151" t="str">
        <f>"Aleksandrów"</f>
        <v>Aleksandrów</v>
      </c>
      <c r="D151" t="str">
        <f aca="true" t="shared" si="27" ref="D151:D182">"piotrkowski"</f>
        <v>piotrkowski</v>
      </c>
      <c r="E151" t="str">
        <f t="shared" si="23"/>
        <v>łódzkie</v>
      </c>
      <c r="F151">
        <v>1</v>
      </c>
      <c r="G151" t="str">
        <f>"Szkoła Podstawowa w Aleksandrowie, Aleksandrów 40, 26-337 Aleksandrów"</f>
        <v>Szkoła Podstawowa w Aleksandrowie, Aleksandrów 40, 26-337 Aleksandrów</v>
      </c>
      <c r="H151">
        <v>1100</v>
      </c>
      <c r="I151">
        <v>1100</v>
      </c>
      <c r="J151">
        <v>0</v>
      </c>
      <c r="K151">
        <v>770</v>
      </c>
      <c r="L151">
        <v>550</v>
      </c>
      <c r="M151">
        <v>220</v>
      </c>
      <c r="N151">
        <v>220</v>
      </c>
      <c r="O151">
        <v>0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220</v>
      </c>
      <c r="Z151">
        <v>0</v>
      </c>
      <c r="AA151">
        <v>0</v>
      </c>
      <c r="AB151">
        <v>220</v>
      </c>
      <c r="AC151">
        <v>9</v>
      </c>
      <c r="AD151">
        <v>211</v>
      </c>
      <c r="AE151">
        <v>1</v>
      </c>
      <c r="AF151">
        <v>0</v>
      </c>
      <c r="AG151">
        <v>0</v>
      </c>
      <c r="AH151">
        <v>1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1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7</v>
      </c>
      <c r="BD151">
        <v>1</v>
      </c>
      <c r="BE151">
        <v>0</v>
      </c>
      <c r="BF151">
        <v>0</v>
      </c>
      <c r="BG151">
        <v>0</v>
      </c>
      <c r="BH151">
        <v>3</v>
      </c>
      <c r="BI151">
        <v>0</v>
      </c>
      <c r="BJ151">
        <v>0</v>
      </c>
      <c r="BK151">
        <v>0</v>
      </c>
      <c r="BL151">
        <v>0</v>
      </c>
      <c r="BM151">
        <v>3</v>
      </c>
      <c r="BN151">
        <v>7</v>
      </c>
      <c r="BO151">
        <v>121</v>
      </c>
      <c r="BP151">
        <v>108</v>
      </c>
      <c r="BQ151">
        <v>2</v>
      </c>
      <c r="BR151">
        <v>1</v>
      </c>
      <c r="BS151">
        <v>2</v>
      </c>
      <c r="BT151">
        <v>0</v>
      </c>
      <c r="BU151">
        <v>8</v>
      </c>
      <c r="BV151">
        <v>0</v>
      </c>
      <c r="BW151">
        <v>0</v>
      </c>
      <c r="BX151">
        <v>0</v>
      </c>
      <c r="BY151">
        <v>0</v>
      </c>
      <c r="BZ151">
        <v>121</v>
      </c>
      <c r="CA151">
        <v>7</v>
      </c>
      <c r="CB151">
        <v>3</v>
      </c>
      <c r="CC151">
        <v>1</v>
      </c>
      <c r="CD151">
        <v>0</v>
      </c>
      <c r="CE151">
        <v>0</v>
      </c>
      <c r="CF151">
        <v>0</v>
      </c>
      <c r="CG151">
        <v>3</v>
      </c>
      <c r="CH151">
        <v>0</v>
      </c>
      <c r="CI151">
        <v>0</v>
      </c>
      <c r="CJ151">
        <v>0</v>
      </c>
      <c r="CK151">
        <v>0</v>
      </c>
      <c r="CL151">
        <v>7</v>
      </c>
      <c r="CM151">
        <v>1</v>
      </c>
      <c r="CN151">
        <v>0</v>
      </c>
      <c r="CO151">
        <v>0</v>
      </c>
      <c r="CP151">
        <v>0</v>
      </c>
      <c r="CQ151">
        <v>0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1</v>
      </c>
      <c r="CY151">
        <v>4</v>
      </c>
      <c r="CZ151">
        <v>2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2</v>
      </c>
      <c r="DI151">
        <v>0</v>
      </c>
      <c r="DJ151">
        <v>4</v>
      </c>
      <c r="DK151">
        <v>12</v>
      </c>
      <c r="DL151">
        <v>5</v>
      </c>
      <c r="DM151">
        <v>4</v>
      </c>
      <c r="DN151">
        <v>0</v>
      </c>
      <c r="DO151">
        <v>0</v>
      </c>
      <c r="DP151">
        <v>0</v>
      </c>
      <c r="DQ151">
        <v>0</v>
      </c>
      <c r="DR151">
        <v>1</v>
      </c>
      <c r="DS151">
        <v>0</v>
      </c>
      <c r="DT151">
        <v>0</v>
      </c>
      <c r="DU151">
        <v>2</v>
      </c>
      <c r="DV151">
        <v>12</v>
      </c>
      <c r="DW151">
        <v>57</v>
      </c>
      <c r="DX151">
        <v>5</v>
      </c>
      <c r="DY151">
        <v>2</v>
      </c>
      <c r="DZ151">
        <v>0</v>
      </c>
      <c r="EA151">
        <v>0</v>
      </c>
      <c r="EB151">
        <v>37</v>
      </c>
      <c r="EC151">
        <v>3</v>
      </c>
      <c r="ED151">
        <v>1</v>
      </c>
      <c r="EE151">
        <v>5</v>
      </c>
      <c r="EF151">
        <v>1</v>
      </c>
      <c r="EG151">
        <v>3</v>
      </c>
      <c r="EH151">
        <v>57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1</v>
      </c>
      <c r="ET151">
        <v>1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1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</row>
    <row r="152" spans="1:172" ht="14.25">
      <c r="A152">
        <v>147</v>
      </c>
      <c r="B152" t="str">
        <f>"101001"</f>
        <v>101001</v>
      </c>
      <c r="C152" t="str">
        <f>"Aleksandrów"</f>
        <v>Aleksandrów</v>
      </c>
      <c r="D152" t="str">
        <f t="shared" si="27"/>
        <v>piotrkowski</v>
      </c>
      <c r="E152" t="str">
        <f t="shared" si="23"/>
        <v>łódzkie</v>
      </c>
      <c r="F152">
        <v>2</v>
      </c>
      <c r="G152" t="str">
        <f>"Szkoła Podstawowa w Dąbrowie nad Czarną, Dąbrowa nad Czarną 60, 26-337 Aleksandrów"</f>
        <v>Szkoła Podstawowa w Dąbrowie nad Czarną, Dąbrowa nad Czarną 60, 26-337 Aleksandrów</v>
      </c>
      <c r="H152">
        <v>977</v>
      </c>
      <c r="I152">
        <v>977</v>
      </c>
      <c r="J152">
        <v>0</v>
      </c>
      <c r="K152">
        <v>690</v>
      </c>
      <c r="L152">
        <v>539</v>
      </c>
      <c r="M152">
        <v>151</v>
      </c>
      <c r="N152">
        <v>151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151</v>
      </c>
      <c r="Z152">
        <v>0</v>
      </c>
      <c r="AA152">
        <v>0</v>
      </c>
      <c r="AB152">
        <v>151</v>
      </c>
      <c r="AC152">
        <v>3</v>
      </c>
      <c r="AD152">
        <v>148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3</v>
      </c>
      <c r="AR152">
        <v>3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3</v>
      </c>
      <c r="BC152">
        <v>14</v>
      </c>
      <c r="BD152">
        <v>3</v>
      </c>
      <c r="BE152">
        <v>0</v>
      </c>
      <c r="BF152">
        <v>0</v>
      </c>
      <c r="BG152">
        <v>0</v>
      </c>
      <c r="BH152">
        <v>8</v>
      </c>
      <c r="BI152">
        <v>0</v>
      </c>
      <c r="BJ152">
        <v>0</v>
      </c>
      <c r="BK152">
        <v>0</v>
      </c>
      <c r="BL152">
        <v>0</v>
      </c>
      <c r="BM152">
        <v>3</v>
      </c>
      <c r="BN152">
        <v>14</v>
      </c>
      <c r="BO152">
        <v>63</v>
      </c>
      <c r="BP152">
        <v>51</v>
      </c>
      <c r="BQ152">
        <v>3</v>
      </c>
      <c r="BR152">
        <v>0</v>
      </c>
      <c r="BS152">
        <v>2</v>
      </c>
      <c r="BT152">
        <v>0</v>
      </c>
      <c r="BU152">
        <v>7</v>
      </c>
      <c r="BV152">
        <v>0</v>
      </c>
      <c r="BW152">
        <v>0</v>
      </c>
      <c r="BX152">
        <v>0</v>
      </c>
      <c r="BY152">
        <v>0</v>
      </c>
      <c r="BZ152">
        <v>63</v>
      </c>
      <c r="CA152">
        <v>2</v>
      </c>
      <c r="CB152">
        <v>2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2</v>
      </c>
      <c r="CM152">
        <v>2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2</v>
      </c>
      <c r="CW152">
        <v>0</v>
      </c>
      <c r="CX152">
        <v>2</v>
      </c>
      <c r="CY152">
        <v>8</v>
      </c>
      <c r="CZ152">
        <v>5</v>
      </c>
      <c r="DA152">
        <v>2</v>
      </c>
      <c r="DB152">
        <v>0</v>
      </c>
      <c r="DC152">
        <v>0</v>
      </c>
      <c r="DD152">
        <v>0</v>
      </c>
      <c r="DE152">
        <v>0</v>
      </c>
      <c r="DF152">
        <v>1</v>
      </c>
      <c r="DG152">
        <v>0</v>
      </c>
      <c r="DH152">
        <v>0</v>
      </c>
      <c r="DI152">
        <v>0</v>
      </c>
      <c r="DJ152">
        <v>8</v>
      </c>
      <c r="DK152">
        <v>22</v>
      </c>
      <c r="DL152">
        <v>13</v>
      </c>
      <c r="DM152">
        <v>5</v>
      </c>
      <c r="DN152">
        <v>1</v>
      </c>
      <c r="DO152">
        <v>0</v>
      </c>
      <c r="DP152">
        <v>1</v>
      </c>
      <c r="DQ152">
        <v>0</v>
      </c>
      <c r="DR152">
        <v>0</v>
      </c>
      <c r="DS152">
        <v>1</v>
      </c>
      <c r="DT152">
        <v>0</v>
      </c>
      <c r="DU152">
        <v>1</v>
      </c>
      <c r="DV152">
        <v>22</v>
      </c>
      <c r="DW152">
        <v>32</v>
      </c>
      <c r="DX152">
        <v>4</v>
      </c>
      <c r="DY152">
        <v>3</v>
      </c>
      <c r="DZ152">
        <v>0</v>
      </c>
      <c r="EA152">
        <v>0</v>
      </c>
      <c r="EB152">
        <v>19</v>
      </c>
      <c r="EC152">
        <v>3</v>
      </c>
      <c r="ED152">
        <v>0</v>
      </c>
      <c r="EE152">
        <v>0</v>
      </c>
      <c r="EF152">
        <v>0</v>
      </c>
      <c r="EG152">
        <v>3</v>
      </c>
      <c r="EH152">
        <v>32</v>
      </c>
      <c r="EI152">
        <v>2</v>
      </c>
      <c r="EJ152">
        <v>0</v>
      </c>
      <c r="EK152">
        <v>2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2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</row>
    <row r="153" spans="1:172" ht="14.25">
      <c r="A153">
        <v>148</v>
      </c>
      <c r="B153" t="str">
        <f>"101001"</f>
        <v>101001</v>
      </c>
      <c r="C153" t="str">
        <f>"Aleksandrów"</f>
        <v>Aleksandrów</v>
      </c>
      <c r="D153" t="str">
        <f t="shared" si="27"/>
        <v>piotrkowski</v>
      </c>
      <c r="E153" t="str">
        <f t="shared" si="23"/>
        <v>łódzkie</v>
      </c>
      <c r="F153">
        <v>3</v>
      </c>
      <c r="G153" t="str">
        <f>"Budynek po byłej Szkole Podstawowej w Dąbrówce, Dąbrówka 59, 26-337 Aleksandrów"</f>
        <v>Budynek po byłej Szkole Podstawowej w Dąbrówce, Dąbrówka 59, 26-337 Aleksandrów</v>
      </c>
      <c r="H153">
        <v>499</v>
      </c>
      <c r="I153">
        <v>499</v>
      </c>
      <c r="J153">
        <v>0</v>
      </c>
      <c r="K153">
        <v>350</v>
      </c>
      <c r="L153">
        <v>225</v>
      </c>
      <c r="M153">
        <v>125</v>
      </c>
      <c r="N153">
        <v>125</v>
      </c>
      <c r="O153">
        <v>0</v>
      </c>
      <c r="P153">
        <v>0</v>
      </c>
      <c r="Q153">
        <v>3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125</v>
      </c>
      <c r="Z153">
        <v>0</v>
      </c>
      <c r="AA153">
        <v>0</v>
      </c>
      <c r="AB153">
        <v>125</v>
      </c>
      <c r="AC153">
        <v>3</v>
      </c>
      <c r="AD153">
        <v>122</v>
      </c>
      <c r="AE153">
        <v>3</v>
      </c>
      <c r="AF153">
        <v>0</v>
      </c>
      <c r="AG153">
        <v>2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3</v>
      </c>
      <c r="AQ153">
        <v>1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1</v>
      </c>
      <c r="BA153">
        <v>0</v>
      </c>
      <c r="BB153">
        <v>1</v>
      </c>
      <c r="BC153">
        <v>4</v>
      </c>
      <c r="BD153">
        <v>2</v>
      </c>
      <c r="BE153">
        <v>0</v>
      </c>
      <c r="BF153">
        <v>0</v>
      </c>
      <c r="BG153">
        <v>0</v>
      </c>
      <c r="BH153">
        <v>1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4</v>
      </c>
      <c r="BO153">
        <v>56</v>
      </c>
      <c r="BP153">
        <v>37</v>
      </c>
      <c r="BQ153">
        <v>3</v>
      </c>
      <c r="BR153">
        <v>0</v>
      </c>
      <c r="BS153">
        <v>0</v>
      </c>
      <c r="BT153">
        <v>0</v>
      </c>
      <c r="BU153">
        <v>15</v>
      </c>
      <c r="BV153">
        <v>0</v>
      </c>
      <c r="BW153">
        <v>0</v>
      </c>
      <c r="BX153">
        <v>1</v>
      </c>
      <c r="BY153">
        <v>0</v>
      </c>
      <c r="BZ153">
        <v>56</v>
      </c>
      <c r="CA153">
        <v>3</v>
      </c>
      <c r="CB153">
        <v>0</v>
      </c>
      <c r="CC153">
        <v>1</v>
      </c>
      <c r="CD153">
        <v>0</v>
      </c>
      <c r="CE153">
        <v>1</v>
      </c>
      <c r="CF153">
        <v>0</v>
      </c>
      <c r="CG153">
        <v>1</v>
      </c>
      <c r="CH153">
        <v>0</v>
      </c>
      <c r="CI153">
        <v>0</v>
      </c>
      <c r="CJ153">
        <v>0</v>
      </c>
      <c r="CK153">
        <v>0</v>
      </c>
      <c r="CL153">
        <v>3</v>
      </c>
      <c r="CM153">
        <v>3</v>
      </c>
      <c r="CN153">
        <v>2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1</v>
      </c>
      <c r="CV153">
        <v>0</v>
      </c>
      <c r="CW153">
        <v>0</v>
      </c>
      <c r="CX153">
        <v>3</v>
      </c>
      <c r="CY153">
        <v>5</v>
      </c>
      <c r="CZ153">
        <v>1</v>
      </c>
      <c r="DA153">
        <v>1</v>
      </c>
      <c r="DB153">
        <v>0</v>
      </c>
      <c r="DC153">
        <v>1</v>
      </c>
      <c r="DD153">
        <v>0</v>
      </c>
      <c r="DE153">
        <v>0</v>
      </c>
      <c r="DF153">
        <v>0</v>
      </c>
      <c r="DG153">
        <v>0</v>
      </c>
      <c r="DH153">
        <v>2</v>
      </c>
      <c r="DI153">
        <v>0</v>
      </c>
      <c r="DJ153">
        <v>5</v>
      </c>
      <c r="DK153">
        <v>19</v>
      </c>
      <c r="DL153">
        <v>14</v>
      </c>
      <c r="DM153">
        <v>3</v>
      </c>
      <c r="DN153">
        <v>0</v>
      </c>
      <c r="DO153">
        <v>0</v>
      </c>
      <c r="DP153">
        <v>0</v>
      </c>
      <c r="DQ153">
        <v>1</v>
      </c>
      <c r="DR153">
        <v>1</v>
      </c>
      <c r="DS153">
        <v>0</v>
      </c>
      <c r="DT153">
        <v>0</v>
      </c>
      <c r="DU153">
        <v>0</v>
      </c>
      <c r="DV153">
        <v>19</v>
      </c>
      <c r="DW153">
        <v>27</v>
      </c>
      <c r="DX153">
        <v>1</v>
      </c>
      <c r="DY153">
        <v>7</v>
      </c>
      <c r="DZ153">
        <v>0</v>
      </c>
      <c r="EA153">
        <v>0</v>
      </c>
      <c r="EB153">
        <v>14</v>
      </c>
      <c r="EC153">
        <v>2</v>
      </c>
      <c r="ED153">
        <v>0</v>
      </c>
      <c r="EE153">
        <v>0</v>
      </c>
      <c r="EF153">
        <v>0</v>
      </c>
      <c r="EG153">
        <v>3</v>
      </c>
      <c r="EH153">
        <v>27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1</v>
      </c>
      <c r="ET153">
        <v>1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1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</row>
    <row r="154" spans="1:172" ht="14.25">
      <c r="A154">
        <v>149</v>
      </c>
      <c r="B154" t="str">
        <f>"101001"</f>
        <v>101001</v>
      </c>
      <c r="C154" t="str">
        <f>"Aleksandrów"</f>
        <v>Aleksandrów</v>
      </c>
      <c r="D154" t="str">
        <f t="shared" si="27"/>
        <v>piotrkowski</v>
      </c>
      <c r="E154" t="str">
        <f t="shared" si="23"/>
        <v>łódzkie</v>
      </c>
      <c r="F154">
        <v>4</v>
      </c>
      <c r="G154" t="str">
        <f>"Świetlica Wiejska w Ciechominie, Ciechomin 46A, 26-337 Aleksandrów"</f>
        <v>Świetlica Wiejska w Ciechominie, Ciechomin 46A, 26-337 Aleksandrów</v>
      </c>
      <c r="H154">
        <v>520</v>
      </c>
      <c r="I154">
        <v>520</v>
      </c>
      <c r="J154">
        <v>0</v>
      </c>
      <c r="K154">
        <v>360</v>
      </c>
      <c r="L154">
        <v>263</v>
      </c>
      <c r="M154">
        <v>97</v>
      </c>
      <c r="N154">
        <v>97</v>
      </c>
      <c r="O154">
        <v>0</v>
      </c>
      <c r="P154">
        <v>0</v>
      </c>
      <c r="Q154">
        <v>3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97</v>
      </c>
      <c r="Z154">
        <v>0</v>
      </c>
      <c r="AA154">
        <v>0</v>
      </c>
      <c r="AB154">
        <v>97</v>
      </c>
      <c r="AC154">
        <v>3</v>
      </c>
      <c r="AD154">
        <v>94</v>
      </c>
      <c r="AE154">
        <v>4</v>
      </c>
      <c r="AF154">
        <v>1</v>
      </c>
      <c r="AG154">
        <v>0</v>
      </c>
      <c r="AH154">
        <v>0</v>
      </c>
      <c r="AI154">
        <v>1</v>
      </c>
      <c r="AJ154">
        <v>0</v>
      </c>
      <c r="AK154">
        <v>0</v>
      </c>
      <c r="AL154">
        <v>2</v>
      </c>
      <c r="AM154">
        <v>0</v>
      </c>
      <c r="AN154">
        <v>0</v>
      </c>
      <c r="AO154">
        <v>0</v>
      </c>
      <c r="AP154">
        <v>4</v>
      </c>
      <c r="AQ154">
        <v>2</v>
      </c>
      <c r="AR154">
        <v>2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2</v>
      </c>
      <c r="BC154">
        <v>2</v>
      </c>
      <c r="BD154">
        <v>1</v>
      </c>
      <c r="BE154">
        <v>1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2</v>
      </c>
      <c r="BO154">
        <v>52</v>
      </c>
      <c r="BP154">
        <v>37</v>
      </c>
      <c r="BQ154">
        <v>1</v>
      </c>
      <c r="BR154">
        <v>3</v>
      </c>
      <c r="BS154">
        <v>2</v>
      </c>
      <c r="BT154">
        <v>0</v>
      </c>
      <c r="BU154">
        <v>8</v>
      </c>
      <c r="BV154">
        <v>0</v>
      </c>
      <c r="BW154">
        <v>1</v>
      </c>
      <c r="BX154">
        <v>0</v>
      </c>
      <c r="BY154">
        <v>0</v>
      </c>
      <c r="BZ154">
        <v>52</v>
      </c>
      <c r="CA154">
        <v>5</v>
      </c>
      <c r="CB154">
        <v>0</v>
      </c>
      <c r="CC154">
        <v>1</v>
      </c>
      <c r="CD154">
        <v>0</v>
      </c>
      <c r="CE154">
        <v>0</v>
      </c>
      <c r="CF154">
        <v>0</v>
      </c>
      <c r="CG154">
        <v>4</v>
      </c>
      <c r="CH154">
        <v>0</v>
      </c>
      <c r="CI154">
        <v>0</v>
      </c>
      <c r="CJ154">
        <v>0</v>
      </c>
      <c r="CK154">
        <v>0</v>
      </c>
      <c r="CL154">
        <v>5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5</v>
      </c>
      <c r="DL154">
        <v>1</v>
      </c>
      <c r="DM154">
        <v>3</v>
      </c>
      <c r="DN154">
        <v>0</v>
      </c>
      <c r="DO154">
        <v>0</v>
      </c>
      <c r="DP154">
        <v>1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5</v>
      </c>
      <c r="DW154">
        <v>24</v>
      </c>
      <c r="DX154">
        <v>0</v>
      </c>
      <c r="DY154">
        <v>1</v>
      </c>
      <c r="DZ154">
        <v>0</v>
      </c>
      <c r="EA154">
        <v>0</v>
      </c>
      <c r="EB154">
        <v>10</v>
      </c>
      <c r="EC154">
        <v>0</v>
      </c>
      <c r="ED154">
        <v>0</v>
      </c>
      <c r="EE154">
        <v>0</v>
      </c>
      <c r="EF154">
        <v>0</v>
      </c>
      <c r="EG154">
        <v>13</v>
      </c>
      <c r="EH154">
        <v>24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</row>
    <row r="155" spans="1:172" ht="14.25">
      <c r="A155">
        <v>150</v>
      </c>
      <c r="B155" t="str">
        <f>"101001"</f>
        <v>101001</v>
      </c>
      <c r="C155" t="str">
        <f>"Aleksandrów"</f>
        <v>Aleksandrów</v>
      </c>
      <c r="D155" t="str">
        <f t="shared" si="27"/>
        <v>piotrkowski</v>
      </c>
      <c r="E155" t="str">
        <f t="shared" si="23"/>
        <v>łódzkie</v>
      </c>
      <c r="F155">
        <v>5</v>
      </c>
      <c r="G155" t="str">
        <f>"Szkoła Podstawowa w Skotnikach, Skotniki 4, 26-337 Aleksandrów"</f>
        <v>Szkoła Podstawowa w Skotnikach, Skotniki 4, 26-337 Aleksandrów</v>
      </c>
      <c r="H155">
        <v>601</v>
      </c>
      <c r="I155">
        <v>601</v>
      </c>
      <c r="J155">
        <v>0</v>
      </c>
      <c r="K155">
        <v>420</v>
      </c>
      <c r="L155">
        <v>288</v>
      </c>
      <c r="M155">
        <v>132</v>
      </c>
      <c r="N155">
        <v>132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132</v>
      </c>
      <c r="Z155">
        <v>0</v>
      </c>
      <c r="AA155">
        <v>0</v>
      </c>
      <c r="AB155">
        <v>132</v>
      </c>
      <c r="AC155">
        <v>1</v>
      </c>
      <c r="AD155">
        <v>131</v>
      </c>
      <c r="AE155">
        <v>4</v>
      </c>
      <c r="AF155">
        <v>3</v>
      </c>
      <c r="AG155">
        <v>0</v>
      </c>
      <c r="AH155">
        <v>0</v>
      </c>
      <c r="AI155">
        <v>0</v>
      </c>
      <c r="AJ155">
        <v>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4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10</v>
      </c>
      <c r="BD155">
        <v>2</v>
      </c>
      <c r="BE155">
        <v>0</v>
      </c>
      <c r="BF155">
        <v>0</v>
      </c>
      <c r="BG155">
        <v>0</v>
      </c>
      <c r="BH155">
        <v>8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10</v>
      </c>
      <c r="BO155">
        <v>55</v>
      </c>
      <c r="BP155">
        <v>44</v>
      </c>
      <c r="BQ155">
        <v>3</v>
      </c>
      <c r="BR155">
        <v>2</v>
      </c>
      <c r="BS155">
        <v>3</v>
      </c>
      <c r="BT155">
        <v>0</v>
      </c>
      <c r="BU155">
        <v>1</v>
      </c>
      <c r="BV155">
        <v>0</v>
      </c>
      <c r="BW155">
        <v>0</v>
      </c>
      <c r="BX155">
        <v>0</v>
      </c>
      <c r="BY155">
        <v>2</v>
      </c>
      <c r="BZ155">
        <v>55</v>
      </c>
      <c r="CA155">
        <v>2</v>
      </c>
      <c r="CB155">
        <v>0</v>
      </c>
      <c r="CC155">
        <v>0</v>
      </c>
      <c r="CD155">
        <v>1</v>
      </c>
      <c r="CE155">
        <v>0</v>
      </c>
      <c r="CF155">
        <v>0</v>
      </c>
      <c r="CG155">
        <v>1</v>
      </c>
      <c r="CH155">
        <v>0</v>
      </c>
      <c r="CI155">
        <v>0</v>
      </c>
      <c r="CJ155">
        <v>0</v>
      </c>
      <c r="CK155">
        <v>0</v>
      </c>
      <c r="CL155">
        <v>2</v>
      </c>
      <c r="CM155">
        <v>2</v>
      </c>
      <c r="CN155">
        <v>1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0</v>
      </c>
      <c r="CX155">
        <v>2</v>
      </c>
      <c r="CY155">
        <v>5</v>
      </c>
      <c r="CZ155">
        <v>2</v>
      </c>
      <c r="DA155">
        <v>2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1</v>
      </c>
      <c r="DJ155">
        <v>5</v>
      </c>
      <c r="DK155">
        <v>14</v>
      </c>
      <c r="DL155">
        <v>3</v>
      </c>
      <c r="DM155">
        <v>8</v>
      </c>
      <c r="DN155">
        <v>1</v>
      </c>
      <c r="DO155">
        <v>0</v>
      </c>
      <c r="DP155">
        <v>1</v>
      </c>
      <c r="DQ155">
        <v>0</v>
      </c>
      <c r="DR155">
        <v>1</v>
      </c>
      <c r="DS155">
        <v>0</v>
      </c>
      <c r="DT155">
        <v>0</v>
      </c>
      <c r="DU155">
        <v>0</v>
      </c>
      <c r="DV155">
        <v>14</v>
      </c>
      <c r="DW155">
        <v>37</v>
      </c>
      <c r="DX155">
        <v>0</v>
      </c>
      <c r="DY155">
        <v>7</v>
      </c>
      <c r="DZ155">
        <v>1</v>
      </c>
      <c r="EA155">
        <v>0</v>
      </c>
      <c r="EB155">
        <v>14</v>
      </c>
      <c r="EC155">
        <v>10</v>
      </c>
      <c r="ED155">
        <v>0</v>
      </c>
      <c r="EE155">
        <v>0</v>
      </c>
      <c r="EF155">
        <v>0</v>
      </c>
      <c r="EG155">
        <v>5</v>
      </c>
      <c r="EH155">
        <v>37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2</v>
      </c>
      <c r="FF155">
        <v>0</v>
      </c>
      <c r="FG155">
        <v>1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1</v>
      </c>
      <c r="FO155">
        <v>0</v>
      </c>
      <c r="FP155">
        <v>2</v>
      </c>
    </row>
    <row r="156" spans="1:172" ht="14.25">
      <c r="A156">
        <v>151</v>
      </c>
      <c r="B156" t="str">
        <f>"101002"</f>
        <v>101002</v>
      </c>
      <c r="C156" t="str">
        <f>"Czarnocin"</f>
        <v>Czarnocin</v>
      </c>
      <c r="D156" t="str">
        <f t="shared" si="27"/>
        <v>piotrkowski</v>
      </c>
      <c r="E156" t="str">
        <f t="shared" si="23"/>
        <v>łódzkie</v>
      </c>
      <c r="F156">
        <v>1</v>
      </c>
      <c r="G156" t="str">
        <f>"Zespół Szkolno-Gimnazjalny w Czarnocinie, ul. Główna 134, 97-318 Czarnocin"</f>
        <v>Zespół Szkolno-Gimnazjalny w Czarnocinie, ul. Główna 134, 97-318 Czarnocin</v>
      </c>
      <c r="H156">
        <v>957</v>
      </c>
      <c r="I156">
        <v>957</v>
      </c>
      <c r="J156">
        <v>0</v>
      </c>
      <c r="K156">
        <v>670</v>
      </c>
      <c r="L156">
        <v>431</v>
      </c>
      <c r="M156">
        <v>239</v>
      </c>
      <c r="N156">
        <v>239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239</v>
      </c>
      <c r="Z156">
        <v>0</v>
      </c>
      <c r="AA156">
        <v>0</v>
      </c>
      <c r="AB156">
        <v>239</v>
      </c>
      <c r="AC156">
        <v>4</v>
      </c>
      <c r="AD156">
        <v>235</v>
      </c>
      <c r="AE156">
        <v>5</v>
      </c>
      <c r="AF156">
        <v>1</v>
      </c>
      <c r="AG156">
        <v>1</v>
      </c>
      <c r="AH156">
        <v>1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2</v>
      </c>
      <c r="AO156">
        <v>0</v>
      </c>
      <c r="AP156">
        <v>5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17</v>
      </c>
      <c r="BD156">
        <v>13</v>
      </c>
      <c r="BE156">
        <v>1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1</v>
      </c>
      <c r="BL156">
        <v>0</v>
      </c>
      <c r="BM156">
        <v>2</v>
      </c>
      <c r="BN156">
        <v>17</v>
      </c>
      <c r="BO156">
        <v>95</v>
      </c>
      <c r="BP156">
        <v>82</v>
      </c>
      <c r="BQ156">
        <v>4</v>
      </c>
      <c r="BR156">
        <v>4</v>
      </c>
      <c r="BS156">
        <v>0</v>
      </c>
      <c r="BT156">
        <v>1</v>
      </c>
      <c r="BU156">
        <v>2</v>
      </c>
      <c r="BV156">
        <v>0</v>
      </c>
      <c r="BW156">
        <v>0</v>
      </c>
      <c r="BX156">
        <v>2</v>
      </c>
      <c r="BY156">
        <v>0</v>
      </c>
      <c r="BZ156">
        <v>95</v>
      </c>
      <c r="CA156">
        <v>3</v>
      </c>
      <c r="CB156">
        <v>2</v>
      </c>
      <c r="CC156">
        <v>0</v>
      </c>
      <c r="CD156">
        <v>0</v>
      </c>
      <c r="CE156">
        <v>1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3</v>
      </c>
      <c r="CM156">
        <v>3</v>
      </c>
      <c r="CN156">
        <v>3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3</v>
      </c>
      <c r="CY156">
        <v>17</v>
      </c>
      <c r="CZ156">
        <v>13</v>
      </c>
      <c r="DA156">
        <v>1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1</v>
      </c>
      <c r="DH156">
        <v>0</v>
      </c>
      <c r="DI156">
        <v>2</v>
      </c>
      <c r="DJ156">
        <v>17</v>
      </c>
      <c r="DK156">
        <v>64</v>
      </c>
      <c r="DL156">
        <v>32</v>
      </c>
      <c r="DM156">
        <v>27</v>
      </c>
      <c r="DN156">
        <v>0</v>
      </c>
      <c r="DO156">
        <v>0</v>
      </c>
      <c r="DP156">
        <v>1</v>
      </c>
      <c r="DQ156">
        <v>0</v>
      </c>
      <c r="DR156">
        <v>1</v>
      </c>
      <c r="DS156">
        <v>1</v>
      </c>
      <c r="DT156">
        <v>0</v>
      </c>
      <c r="DU156">
        <v>2</v>
      </c>
      <c r="DV156">
        <v>64</v>
      </c>
      <c r="DW156">
        <v>28</v>
      </c>
      <c r="DX156">
        <v>1</v>
      </c>
      <c r="DY156">
        <v>8</v>
      </c>
      <c r="DZ156">
        <v>1</v>
      </c>
      <c r="EA156">
        <v>0</v>
      </c>
      <c r="EB156">
        <v>4</v>
      </c>
      <c r="EC156">
        <v>0</v>
      </c>
      <c r="ED156">
        <v>0</v>
      </c>
      <c r="EE156">
        <v>10</v>
      </c>
      <c r="EF156">
        <v>4</v>
      </c>
      <c r="EG156">
        <v>0</v>
      </c>
      <c r="EH156">
        <v>28</v>
      </c>
      <c r="EI156">
        <v>1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1</v>
      </c>
      <c r="EP156">
        <v>0</v>
      </c>
      <c r="EQ156">
        <v>0</v>
      </c>
      <c r="ER156">
        <v>1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2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2</v>
      </c>
      <c r="FN156">
        <v>0</v>
      </c>
      <c r="FO156">
        <v>0</v>
      </c>
      <c r="FP156">
        <v>2</v>
      </c>
    </row>
    <row r="157" spans="1:172" ht="14.25">
      <c r="A157">
        <v>152</v>
      </c>
      <c r="B157" t="str">
        <f>"101002"</f>
        <v>101002</v>
      </c>
      <c r="C157" t="str">
        <f>"Czarnocin"</f>
        <v>Czarnocin</v>
      </c>
      <c r="D157" t="str">
        <f t="shared" si="27"/>
        <v>piotrkowski</v>
      </c>
      <c r="E157" t="str">
        <f t="shared" si="23"/>
        <v>łódzkie</v>
      </c>
      <c r="F157">
        <v>2</v>
      </c>
      <c r="G157" t="str">
        <f>"Zespół Szkolno-Gimnazjalny w Czarnocinie, Główna 134, 97-318 Czarnocin"</f>
        <v>Zespół Szkolno-Gimnazjalny w Czarnocinie, Główna 134, 97-318 Czarnocin</v>
      </c>
      <c r="H157">
        <v>985</v>
      </c>
      <c r="I157">
        <v>985</v>
      </c>
      <c r="J157">
        <v>0</v>
      </c>
      <c r="K157">
        <v>690</v>
      </c>
      <c r="L157">
        <v>459</v>
      </c>
      <c r="M157">
        <v>231</v>
      </c>
      <c r="N157">
        <v>231</v>
      </c>
      <c r="O157">
        <v>0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231</v>
      </c>
      <c r="Z157">
        <v>0</v>
      </c>
      <c r="AA157">
        <v>0</v>
      </c>
      <c r="AB157">
        <v>231</v>
      </c>
      <c r="AC157">
        <v>11</v>
      </c>
      <c r="AD157">
        <v>220</v>
      </c>
      <c r="AE157">
        <v>11</v>
      </c>
      <c r="AF157">
        <v>5</v>
      </c>
      <c r="AG157">
        <v>1</v>
      </c>
      <c r="AH157">
        <v>2</v>
      </c>
      <c r="AI157">
        <v>0</v>
      </c>
      <c r="AJ157">
        <v>1</v>
      </c>
      <c r="AK157">
        <v>0</v>
      </c>
      <c r="AL157">
        <v>1</v>
      </c>
      <c r="AM157">
        <v>0</v>
      </c>
      <c r="AN157">
        <v>1</v>
      </c>
      <c r="AO157">
        <v>0</v>
      </c>
      <c r="AP157">
        <v>11</v>
      </c>
      <c r="AQ157">
        <v>3</v>
      </c>
      <c r="AR157">
        <v>3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3</v>
      </c>
      <c r="BC157">
        <v>6</v>
      </c>
      <c r="BD157">
        <v>2</v>
      </c>
      <c r="BE157">
        <v>1</v>
      </c>
      <c r="BF157">
        <v>0</v>
      </c>
      <c r="BG157">
        <v>0</v>
      </c>
      <c r="BH157">
        <v>1</v>
      </c>
      <c r="BI157">
        <v>0</v>
      </c>
      <c r="BJ157">
        <v>0</v>
      </c>
      <c r="BK157">
        <v>0</v>
      </c>
      <c r="BL157">
        <v>0</v>
      </c>
      <c r="BM157">
        <v>2</v>
      </c>
      <c r="BN157">
        <v>6</v>
      </c>
      <c r="BO157">
        <v>132</v>
      </c>
      <c r="BP157">
        <v>109</v>
      </c>
      <c r="BQ157">
        <v>9</v>
      </c>
      <c r="BR157">
        <v>1</v>
      </c>
      <c r="BS157">
        <v>1</v>
      </c>
      <c r="BT157">
        <v>0</v>
      </c>
      <c r="BU157">
        <v>6</v>
      </c>
      <c r="BV157">
        <v>3</v>
      </c>
      <c r="BW157">
        <v>2</v>
      </c>
      <c r="BX157">
        <v>0</v>
      </c>
      <c r="BY157">
        <v>1</v>
      </c>
      <c r="BZ157">
        <v>132</v>
      </c>
      <c r="CA157">
        <v>2</v>
      </c>
      <c r="CB157">
        <v>1</v>
      </c>
      <c r="CC157">
        <v>0</v>
      </c>
      <c r="CD157">
        <v>0</v>
      </c>
      <c r="CE157">
        <v>1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2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13</v>
      </c>
      <c r="CZ157">
        <v>11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2</v>
      </c>
      <c r="DG157">
        <v>0</v>
      </c>
      <c r="DH157">
        <v>0</v>
      </c>
      <c r="DI157">
        <v>0</v>
      </c>
      <c r="DJ157">
        <v>13</v>
      </c>
      <c r="DK157">
        <v>13</v>
      </c>
      <c r="DL157">
        <v>6</v>
      </c>
      <c r="DM157">
        <v>6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1</v>
      </c>
      <c r="DU157">
        <v>0</v>
      </c>
      <c r="DV157">
        <v>13</v>
      </c>
      <c r="DW157">
        <v>36</v>
      </c>
      <c r="DX157">
        <v>9</v>
      </c>
      <c r="DY157">
        <v>7</v>
      </c>
      <c r="DZ157">
        <v>0</v>
      </c>
      <c r="EA157">
        <v>0</v>
      </c>
      <c r="EB157">
        <v>11</v>
      </c>
      <c r="EC157">
        <v>2</v>
      </c>
      <c r="ED157">
        <v>0</v>
      </c>
      <c r="EE157">
        <v>7</v>
      </c>
      <c r="EF157">
        <v>0</v>
      </c>
      <c r="EG157">
        <v>0</v>
      </c>
      <c r="EH157">
        <v>36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4</v>
      </c>
      <c r="ET157">
        <v>0</v>
      </c>
      <c r="EU157">
        <v>2</v>
      </c>
      <c r="EV157">
        <v>2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4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</row>
    <row r="158" spans="1:172" ht="14.25">
      <c r="A158">
        <v>153</v>
      </c>
      <c r="B158" t="str">
        <f>"101002"</f>
        <v>101002</v>
      </c>
      <c r="C158" t="str">
        <f>"Czarnocin"</f>
        <v>Czarnocin</v>
      </c>
      <c r="D158" t="str">
        <f t="shared" si="27"/>
        <v>piotrkowski</v>
      </c>
      <c r="E158" t="str">
        <f t="shared" si="23"/>
        <v>łódzkie</v>
      </c>
      <c r="F158">
        <v>3</v>
      </c>
      <c r="G158" t="str">
        <f>"Szkoła Podstawowa, Szynczyce 8, 97-318 Czarnocin"</f>
        <v>Szkoła Podstawowa, Szynczyce 8, 97-318 Czarnocin</v>
      </c>
      <c r="H158">
        <v>835</v>
      </c>
      <c r="I158">
        <v>835</v>
      </c>
      <c r="J158">
        <v>0</v>
      </c>
      <c r="K158">
        <v>590</v>
      </c>
      <c r="L158">
        <v>469</v>
      </c>
      <c r="M158">
        <v>121</v>
      </c>
      <c r="N158">
        <v>121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121</v>
      </c>
      <c r="Z158">
        <v>0</v>
      </c>
      <c r="AA158">
        <v>0</v>
      </c>
      <c r="AB158">
        <v>121</v>
      </c>
      <c r="AC158">
        <v>2</v>
      </c>
      <c r="AD158">
        <v>119</v>
      </c>
      <c r="AE158">
        <v>6</v>
      </c>
      <c r="AF158">
        <v>2</v>
      </c>
      <c r="AG158">
        <v>2</v>
      </c>
      <c r="AH158">
        <v>1</v>
      </c>
      <c r="AI158">
        <v>0</v>
      </c>
      <c r="AJ158">
        <v>0</v>
      </c>
      <c r="AK158">
        <v>1</v>
      </c>
      <c r="AL158">
        <v>0</v>
      </c>
      <c r="AM158">
        <v>0</v>
      </c>
      <c r="AN158">
        <v>0</v>
      </c>
      <c r="AO158">
        <v>0</v>
      </c>
      <c r="AP158">
        <v>6</v>
      </c>
      <c r="AQ158">
        <v>1</v>
      </c>
      <c r="AR158">
        <v>1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1</v>
      </c>
      <c r="BC158">
        <v>5</v>
      </c>
      <c r="BD158">
        <v>3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1</v>
      </c>
      <c r="BM158">
        <v>1</v>
      </c>
      <c r="BN158">
        <v>5</v>
      </c>
      <c r="BO158">
        <v>57</v>
      </c>
      <c r="BP158">
        <v>51</v>
      </c>
      <c r="BQ158">
        <v>0</v>
      </c>
      <c r="BR158">
        <v>0</v>
      </c>
      <c r="BS158">
        <v>0</v>
      </c>
      <c r="BT158">
        <v>0</v>
      </c>
      <c r="BU158">
        <v>1</v>
      </c>
      <c r="BV158">
        <v>1</v>
      </c>
      <c r="BW158">
        <v>0</v>
      </c>
      <c r="BX158">
        <v>2</v>
      </c>
      <c r="BY158">
        <v>2</v>
      </c>
      <c r="BZ158">
        <v>57</v>
      </c>
      <c r="CA158">
        <v>1</v>
      </c>
      <c r="CB158">
        <v>0</v>
      </c>
      <c r="CC158">
        <v>0</v>
      </c>
      <c r="CD158">
        <v>0</v>
      </c>
      <c r="CE158">
        <v>1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1</v>
      </c>
      <c r="CM158">
        <v>2</v>
      </c>
      <c r="CN158">
        <v>2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2</v>
      </c>
      <c r="CY158">
        <v>5</v>
      </c>
      <c r="CZ158">
        <v>2</v>
      </c>
      <c r="DA158">
        <v>0</v>
      </c>
      <c r="DB158">
        <v>0</v>
      </c>
      <c r="DC158">
        <v>1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2</v>
      </c>
      <c r="DJ158">
        <v>5</v>
      </c>
      <c r="DK158">
        <v>8</v>
      </c>
      <c r="DL158">
        <v>3</v>
      </c>
      <c r="DM158">
        <v>4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1</v>
      </c>
      <c r="DU158">
        <v>0</v>
      </c>
      <c r="DV158">
        <v>8</v>
      </c>
      <c r="DW158">
        <v>33</v>
      </c>
      <c r="DX158">
        <v>7</v>
      </c>
      <c r="DY158">
        <v>13</v>
      </c>
      <c r="DZ158">
        <v>0</v>
      </c>
      <c r="EA158">
        <v>1</v>
      </c>
      <c r="EB158">
        <v>0</v>
      </c>
      <c r="EC158">
        <v>0</v>
      </c>
      <c r="ED158">
        <v>1</v>
      </c>
      <c r="EE158">
        <v>11</v>
      </c>
      <c r="EF158">
        <v>0</v>
      </c>
      <c r="EG158">
        <v>0</v>
      </c>
      <c r="EH158">
        <v>33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1</v>
      </c>
      <c r="FF158">
        <v>0</v>
      </c>
      <c r="FG158">
        <v>0</v>
      </c>
      <c r="FH158">
        <v>0</v>
      </c>
      <c r="FI158">
        <v>1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1</v>
      </c>
    </row>
    <row r="159" spans="1:172" ht="14.25">
      <c r="A159">
        <v>154</v>
      </c>
      <c r="B159" t="str">
        <f>"101002"</f>
        <v>101002</v>
      </c>
      <c r="C159" t="str">
        <f>"Czarnocin"</f>
        <v>Czarnocin</v>
      </c>
      <c r="D159" t="str">
        <f t="shared" si="27"/>
        <v>piotrkowski</v>
      </c>
      <c r="E159" t="str">
        <f t="shared" si="23"/>
        <v>łódzkie</v>
      </c>
      <c r="F159">
        <v>4</v>
      </c>
      <c r="G159" t="str">
        <f>"Budynek po Szkole Podstawowej w Dalkowie, Dalków 146, 97-318 Czarnocin"</f>
        <v>Budynek po Szkole Podstawowej w Dalkowie, Dalków 146, 97-318 Czarnocin</v>
      </c>
      <c r="H159">
        <v>496</v>
      </c>
      <c r="I159">
        <v>496</v>
      </c>
      <c r="J159">
        <v>0</v>
      </c>
      <c r="K159">
        <v>350</v>
      </c>
      <c r="L159">
        <v>225</v>
      </c>
      <c r="M159">
        <v>125</v>
      </c>
      <c r="N159">
        <v>125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125</v>
      </c>
      <c r="Z159">
        <v>0</v>
      </c>
      <c r="AA159">
        <v>0</v>
      </c>
      <c r="AB159">
        <v>125</v>
      </c>
      <c r="AC159">
        <v>5</v>
      </c>
      <c r="AD159">
        <v>120</v>
      </c>
      <c r="AE159">
        <v>1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5</v>
      </c>
      <c r="BD159">
        <v>3</v>
      </c>
      <c r="BE159">
        <v>1</v>
      </c>
      <c r="BF159">
        <v>0</v>
      </c>
      <c r="BG159">
        <v>0</v>
      </c>
      <c r="BH159">
        <v>0</v>
      </c>
      <c r="BI159">
        <v>1</v>
      </c>
      <c r="BJ159">
        <v>0</v>
      </c>
      <c r="BK159">
        <v>0</v>
      </c>
      <c r="BL159">
        <v>0</v>
      </c>
      <c r="BM159">
        <v>0</v>
      </c>
      <c r="BN159">
        <v>5</v>
      </c>
      <c r="BO159">
        <v>80</v>
      </c>
      <c r="BP159">
        <v>68</v>
      </c>
      <c r="BQ159">
        <v>8</v>
      </c>
      <c r="BR159">
        <v>1</v>
      </c>
      <c r="BS159">
        <v>1</v>
      </c>
      <c r="BT159">
        <v>0</v>
      </c>
      <c r="BU159">
        <v>1</v>
      </c>
      <c r="BV159">
        <v>0</v>
      </c>
      <c r="BW159">
        <v>0</v>
      </c>
      <c r="BX159">
        <v>0</v>
      </c>
      <c r="BY159">
        <v>1</v>
      </c>
      <c r="BZ159">
        <v>80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10</v>
      </c>
      <c r="CZ159">
        <v>6</v>
      </c>
      <c r="DA159">
        <v>4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10</v>
      </c>
      <c r="DK159">
        <v>7</v>
      </c>
      <c r="DL159">
        <v>4</v>
      </c>
      <c r="DM159">
        <v>1</v>
      </c>
      <c r="DN159">
        <v>0</v>
      </c>
      <c r="DO159">
        <v>0</v>
      </c>
      <c r="DP159">
        <v>0</v>
      </c>
      <c r="DQ159">
        <v>0</v>
      </c>
      <c r="DR159">
        <v>1</v>
      </c>
      <c r="DS159">
        <v>1</v>
      </c>
      <c r="DT159">
        <v>0</v>
      </c>
      <c r="DU159">
        <v>0</v>
      </c>
      <c r="DV159">
        <v>7</v>
      </c>
      <c r="DW159">
        <v>16</v>
      </c>
      <c r="DX159">
        <v>2</v>
      </c>
      <c r="DY159">
        <v>0</v>
      </c>
      <c r="DZ159">
        <v>0</v>
      </c>
      <c r="EA159">
        <v>0</v>
      </c>
      <c r="EB159">
        <v>1</v>
      </c>
      <c r="EC159">
        <v>3</v>
      </c>
      <c r="ED159">
        <v>1</v>
      </c>
      <c r="EE159">
        <v>9</v>
      </c>
      <c r="EF159">
        <v>0</v>
      </c>
      <c r="EG159">
        <v>0</v>
      </c>
      <c r="EH159">
        <v>16</v>
      </c>
      <c r="EI159">
        <v>1</v>
      </c>
      <c r="EJ159">
        <v>0</v>
      </c>
      <c r="EK159">
        <v>1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1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</row>
    <row r="160" spans="1:172" ht="14.25">
      <c r="A160">
        <v>155</v>
      </c>
      <c r="B160" t="str">
        <f aca="true" t="shared" si="28" ref="B160:B168">"101003"</f>
        <v>101003</v>
      </c>
      <c r="C160" t="str">
        <f aca="true" t="shared" si="29" ref="C160:C168">"Gorzkowice"</f>
        <v>Gorzkowice</v>
      </c>
      <c r="D160" t="str">
        <f t="shared" si="27"/>
        <v>piotrkowski</v>
      </c>
      <c r="E160" t="str">
        <f t="shared" si="23"/>
        <v>łódzkie</v>
      </c>
      <c r="F160">
        <v>1</v>
      </c>
      <c r="G160" t="str">
        <f>"OSP Sobakówek, Sobakówek 44A, 97-350 Gorzkowice"</f>
        <v>OSP Sobakówek, Sobakówek 44A, 97-350 Gorzkowice</v>
      </c>
      <c r="H160">
        <v>407</v>
      </c>
      <c r="I160">
        <v>407</v>
      </c>
      <c r="J160">
        <v>0</v>
      </c>
      <c r="K160">
        <v>290</v>
      </c>
      <c r="L160">
        <v>215</v>
      </c>
      <c r="M160">
        <v>75</v>
      </c>
      <c r="N160">
        <v>75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75</v>
      </c>
      <c r="Z160">
        <v>0</v>
      </c>
      <c r="AA160">
        <v>0</v>
      </c>
      <c r="AB160">
        <v>75</v>
      </c>
      <c r="AC160">
        <v>2</v>
      </c>
      <c r="AD160">
        <v>73</v>
      </c>
      <c r="AE160">
        <v>6</v>
      </c>
      <c r="AF160">
        <v>0</v>
      </c>
      <c r="AG160">
        <v>1</v>
      </c>
      <c r="AH160">
        <v>0</v>
      </c>
      <c r="AI160">
        <v>0</v>
      </c>
      <c r="AJ160">
        <v>0</v>
      </c>
      <c r="AK160">
        <v>0</v>
      </c>
      <c r="AL160">
        <v>1</v>
      </c>
      <c r="AM160">
        <v>0</v>
      </c>
      <c r="AN160">
        <v>0</v>
      </c>
      <c r="AO160">
        <v>4</v>
      </c>
      <c r="AP160">
        <v>6</v>
      </c>
      <c r="AQ160">
        <v>5</v>
      </c>
      <c r="AR160">
        <v>0</v>
      </c>
      <c r="AS160">
        <v>1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4</v>
      </c>
      <c r="BA160">
        <v>0</v>
      </c>
      <c r="BB160">
        <v>5</v>
      </c>
      <c r="BC160">
        <v>4</v>
      </c>
      <c r="BD160">
        <v>0</v>
      </c>
      <c r="BE160">
        <v>0</v>
      </c>
      <c r="BF160">
        <v>0</v>
      </c>
      <c r="BG160">
        <v>1</v>
      </c>
      <c r="BH160">
        <v>0</v>
      </c>
      <c r="BI160">
        <v>0</v>
      </c>
      <c r="BJ160">
        <v>0</v>
      </c>
      <c r="BK160">
        <v>0</v>
      </c>
      <c r="BL160">
        <v>1</v>
      </c>
      <c r="BM160">
        <v>2</v>
      </c>
      <c r="BN160">
        <v>4</v>
      </c>
      <c r="BO160">
        <v>51</v>
      </c>
      <c r="BP160">
        <v>50</v>
      </c>
      <c r="BQ160">
        <v>1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51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3</v>
      </c>
      <c r="CZ160">
        <v>0</v>
      </c>
      <c r="DA160">
        <v>1</v>
      </c>
      <c r="DB160">
        <v>0</v>
      </c>
      <c r="DC160">
        <v>1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1</v>
      </c>
      <c r="DJ160">
        <v>3</v>
      </c>
      <c r="DK160">
        <v>2</v>
      </c>
      <c r="DL160">
        <v>2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2</v>
      </c>
      <c r="DW160">
        <v>2</v>
      </c>
      <c r="DX160">
        <v>0</v>
      </c>
      <c r="DY160">
        <v>2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2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</row>
    <row r="161" spans="1:172" ht="14.25">
      <c r="A161">
        <v>156</v>
      </c>
      <c r="B161" t="str">
        <f t="shared" si="28"/>
        <v>101003</v>
      </c>
      <c r="C161" t="str">
        <f t="shared" si="29"/>
        <v>Gorzkowice</v>
      </c>
      <c r="D161" t="str">
        <f t="shared" si="27"/>
        <v>piotrkowski</v>
      </c>
      <c r="E161" t="str">
        <f t="shared" si="23"/>
        <v>łódzkie</v>
      </c>
      <c r="F161">
        <v>2</v>
      </c>
      <c r="G161" t="str">
        <f>"OSP Gorzkowiczki, Gorzkowiczki 12A, 97-350 Gorzkowice"</f>
        <v>OSP Gorzkowiczki, Gorzkowiczki 12A, 97-350 Gorzkowice</v>
      </c>
      <c r="H161">
        <v>405</v>
      </c>
      <c r="I161">
        <v>405</v>
      </c>
      <c r="J161">
        <v>0</v>
      </c>
      <c r="K161">
        <v>280</v>
      </c>
      <c r="L161">
        <v>210</v>
      </c>
      <c r="M161">
        <v>70</v>
      </c>
      <c r="N161">
        <v>70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70</v>
      </c>
      <c r="Z161">
        <v>0</v>
      </c>
      <c r="AA161">
        <v>0</v>
      </c>
      <c r="AB161">
        <v>70</v>
      </c>
      <c r="AC161">
        <v>0</v>
      </c>
      <c r="AD161">
        <v>70</v>
      </c>
      <c r="AE161">
        <v>9</v>
      </c>
      <c r="AF161">
        <v>2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7</v>
      </c>
      <c r="AP161">
        <v>9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1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1</v>
      </c>
      <c r="BJ161">
        <v>0</v>
      </c>
      <c r="BK161">
        <v>0</v>
      </c>
      <c r="BL161">
        <v>0</v>
      </c>
      <c r="BM161">
        <v>0</v>
      </c>
      <c r="BN161">
        <v>1</v>
      </c>
      <c r="BO161">
        <v>48</v>
      </c>
      <c r="BP161">
        <v>44</v>
      </c>
      <c r="BQ161">
        <v>3</v>
      </c>
      <c r="BR161">
        <v>0</v>
      </c>
      <c r="BS161">
        <v>1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48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1</v>
      </c>
      <c r="CN161">
        <v>1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1</v>
      </c>
      <c r="CY161">
        <v>5</v>
      </c>
      <c r="CZ161">
        <v>4</v>
      </c>
      <c r="DA161">
        <v>1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5</v>
      </c>
      <c r="DK161">
        <v>3</v>
      </c>
      <c r="DL161">
        <v>2</v>
      </c>
      <c r="DM161">
        <v>0</v>
      </c>
      <c r="DN161">
        <v>0</v>
      </c>
      <c r="DO161">
        <v>1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3</v>
      </c>
      <c r="DW161">
        <v>2</v>
      </c>
      <c r="DX161">
        <v>1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1</v>
      </c>
      <c r="EF161">
        <v>0</v>
      </c>
      <c r="EG161">
        <v>0</v>
      </c>
      <c r="EH161">
        <v>2</v>
      </c>
      <c r="EI161">
        <v>1</v>
      </c>
      <c r="EJ161">
        <v>1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1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</row>
    <row r="162" spans="1:172" ht="14.25">
      <c r="A162">
        <v>157</v>
      </c>
      <c r="B162" t="str">
        <f t="shared" si="28"/>
        <v>101003</v>
      </c>
      <c r="C162" t="str">
        <f t="shared" si="29"/>
        <v>Gorzkowice</v>
      </c>
      <c r="D162" t="str">
        <f t="shared" si="27"/>
        <v>piotrkowski</v>
      </c>
      <c r="E162" t="str">
        <f t="shared" si="23"/>
        <v>łódzkie</v>
      </c>
      <c r="F162">
        <v>3</v>
      </c>
      <c r="G162" t="str">
        <f>"Szkoła Podstawowa w Gorzkowicach, ul. Kościelna 26, 97-350 Gorzkowice"</f>
        <v>Szkoła Podstawowa w Gorzkowicach, ul. Kościelna 26, 97-350 Gorzkowice</v>
      </c>
      <c r="H162">
        <v>755</v>
      </c>
      <c r="I162">
        <v>755</v>
      </c>
      <c r="J162">
        <v>0</v>
      </c>
      <c r="K162">
        <v>530</v>
      </c>
      <c r="L162">
        <v>388</v>
      </c>
      <c r="M162">
        <v>142</v>
      </c>
      <c r="N162">
        <v>142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141</v>
      </c>
      <c r="Z162">
        <v>0</v>
      </c>
      <c r="AA162">
        <v>0</v>
      </c>
      <c r="AB162">
        <v>141</v>
      </c>
      <c r="AC162">
        <v>9</v>
      </c>
      <c r="AD162">
        <v>132</v>
      </c>
      <c r="AE162">
        <v>15</v>
      </c>
      <c r="AF162">
        <v>1</v>
      </c>
      <c r="AG162">
        <v>1</v>
      </c>
      <c r="AH162">
        <v>2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11</v>
      </c>
      <c r="AP162">
        <v>15</v>
      </c>
      <c r="AQ162">
        <v>2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2</v>
      </c>
      <c r="BB162">
        <v>2</v>
      </c>
      <c r="BC162">
        <v>26</v>
      </c>
      <c r="BD162">
        <v>2</v>
      </c>
      <c r="BE162">
        <v>0</v>
      </c>
      <c r="BF162">
        <v>0</v>
      </c>
      <c r="BG162">
        <v>0</v>
      </c>
      <c r="BH162">
        <v>1</v>
      </c>
      <c r="BI162">
        <v>7</v>
      </c>
      <c r="BJ162">
        <v>0</v>
      </c>
      <c r="BK162">
        <v>0</v>
      </c>
      <c r="BL162">
        <v>0</v>
      </c>
      <c r="BM162">
        <v>16</v>
      </c>
      <c r="BN162">
        <v>26</v>
      </c>
      <c r="BO162">
        <v>70</v>
      </c>
      <c r="BP162">
        <v>58</v>
      </c>
      <c r="BQ162">
        <v>3</v>
      </c>
      <c r="BR162">
        <v>2</v>
      </c>
      <c r="BS162">
        <v>0</v>
      </c>
      <c r="BT162">
        <v>0</v>
      </c>
      <c r="BU162">
        <v>5</v>
      </c>
      <c r="BV162">
        <v>0</v>
      </c>
      <c r="BW162">
        <v>0</v>
      </c>
      <c r="BX162">
        <v>1</v>
      </c>
      <c r="BY162">
        <v>1</v>
      </c>
      <c r="BZ162">
        <v>70</v>
      </c>
      <c r="CA162">
        <v>2</v>
      </c>
      <c r="CB162">
        <v>0</v>
      </c>
      <c r="CC162">
        <v>1</v>
      </c>
      <c r="CD162">
        <v>1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2</v>
      </c>
      <c r="CM162">
        <v>1</v>
      </c>
      <c r="CN162">
        <v>0</v>
      </c>
      <c r="CO162">
        <v>0</v>
      </c>
      <c r="CP162">
        <v>0</v>
      </c>
      <c r="CQ162">
        <v>0</v>
      </c>
      <c r="CR162">
        <v>1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1</v>
      </c>
      <c r="CY162">
        <v>6</v>
      </c>
      <c r="CZ162">
        <v>5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1</v>
      </c>
      <c r="DJ162">
        <v>6</v>
      </c>
      <c r="DK162">
        <v>5</v>
      </c>
      <c r="DL162">
        <v>4</v>
      </c>
      <c r="DM162">
        <v>0</v>
      </c>
      <c r="DN162">
        <v>1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5</v>
      </c>
      <c r="DW162">
        <v>4</v>
      </c>
      <c r="DX162">
        <v>0</v>
      </c>
      <c r="DY162">
        <v>3</v>
      </c>
      <c r="DZ162">
        <v>0</v>
      </c>
      <c r="EA162">
        <v>0</v>
      </c>
      <c r="EB162">
        <v>1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4</v>
      </c>
      <c r="EI162">
        <v>1</v>
      </c>
      <c r="EJ162">
        <v>1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1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</row>
    <row r="163" spans="1:172" ht="14.25">
      <c r="A163">
        <v>158</v>
      </c>
      <c r="B163" t="str">
        <f t="shared" si="28"/>
        <v>101003</v>
      </c>
      <c r="C163" t="str">
        <f t="shared" si="29"/>
        <v>Gorzkowice</v>
      </c>
      <c r="D163" t="str">
        <f t="shared" si="27"/>
        <v>piotrkowski</v>
      </c>
      <c r="E163" t="str">
        <f t="shared" si="23"/>
        <v>łódzkie</v>
      </c>
      <c r="F163">
        <v>4</v>
      </c>
      <c r="G163" t="str">
        <f>"Szkoła Podstawowa w Gorzkowicach, ul. Kościelna 26, 97-350 Gorzkowice"</f>
        <v>Szkoła Podstawowa w Gorzkowicach, ul. Kościelna 26, 97-350 Gorzkowice</v>
      </c>
      <c r="H163">
        <v>1090</v>
      </c>
      <c r="I163">
        <v>1090</v>
      </c>
      <c r="J163">
        <v>0</v>
      </c>
      <c r="K163">
        <v>760</v>
      </c>
      <c r="L163">
        <v>561</v>
      </c>
      <c r="M163">
        <v>199</v>
      </c>
      <c r="N163">
        <v>199</v>
      </c>
      <c r="O163">
        <v>0</v>
      </c>
      <c r="P163">
        <v>0</v>
      </c>
      <c r="Q163">
        <v>2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199</v>
      </c>
      <c r="Z163">
        <v>0</v>
      </c>
      <c r="AA163">
        <v>0</v>
      </c>
      <c r="AB163">
        <v>199</v>
      </c>
      <c r="AC163">
        <v>7</v>
      </c>
      <c r="AD163">
        <v>192</v>
      </c>
      <c r="AE163">
        <v>13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13</v>
      </c>
      <c r="AP163">
        <v>13</v>
      </c>
      <c r="AQ163">
        <v>1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1</v>
      </c>
      <c r="BC163">
        <v>18</v>
      </c>
      <c r="BD163">
        <v>2</v>
      </c>
      <c r="BE163">
        <v>1</v>
      </c>
      <c r="BF163">
        <v>0</v>
      </c>
      <c r="BG163">
        <v>1</v>
      </c>
      <c r="BH163">
        <v>0</v>
      </c>
      <c r="BI163">
        <v>0</v>
      </c>
      <c r="BJ163">
        <v>3</v>
      </c>
      <c r="BK163">
        <v>0</v>
      </c>
      <c r="BL163">
        <v>0</v>
      </c>
      <c r="BM163">
        <v>11</v>
      </c>
      <c r="BN163">
        <v>18</v>
      </c>
      <c r="BO163">
        <v>106</v>
      </c>
      <c r="BP163">
        <v>94</v>
      </c>
      <c r="BQ163">
        <v>2</v>
      </c>
      <c r="BR163">
        <v>4</v>
      </c>
      <c r="BS163">
        <v>3</v>
      </c>
      <c r="BT163">
        <v>0</v>
      </c>
      <c r="BU163">
        <v>3</v>
      </c>
      <c r="BV163">
        <v>0</v>
      </c>
      <c r="BW163">
        <v>0</v>
      </c>
      <c r="BX163">
        <v>0</v>
      </c>
      <c r="BY163">
        <v>0</v>
      </c>
      <c r="BZ163">
        <v>106</v>
      </c>
      <c r="CA163">
        <v>1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1</v>
      </c>
      <c r="CL163">
        <v>1</v>
      </c>
      <c r="CM163">
        <v>5</v>
      </c>
      <c r="CN163">
        <v>4</v>
      </c>
      <c r="CO163">
        <v>1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5</v>
      </c>
      <c r="CY163">
        <v>17</v>
      </c>
      <c r="CZ163">
        <v>14</v>
      </c>
      <c r="DA163">
        <v>1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2</v>
      </c>
      <c r="DJ163">
        <v>17</v>
      </c>
      <c r="DK163">
        <v>18</v>
      </c>
      <c r="DL163">
        <v>14</v>
      </c>
      <c r="DM163">
        <v>2</v>
      </c>
      <c r="DN163">
        <v>0</v>
      </c>
      <c r="DO163">
        <v>0</v>
      </c>
      <c r="DP163">
        <v>0</v>
      </c>
      <c r="DQ163">
        <v>0</v>
      </c>
      <c r="DR163">
        <v>2</v>
      </c>
      <c r="DS163">
        <v>0</v>
      </c>
      <c r="DT163">
        <v>0</v>
      </c>
      <c r="DU163">
        <v>0</v>
      </c>
      <c r="DV163">
        <v>18</v>
      </c>
      <c r="DW163">
        <v>11</v>
      </c>
      <c r="DX163">
        <v>2</v>
      </c>
      <c r="DY163">
        <v>0</v>
      </c>
      <c r="DZ163">
        <v>0</v>
      </c>
      <c r="EA163">
        <v>0</v>
      </c>
      <c r="EB163">
        <v>6</v>
      </c>
      <c r="EC163">
        <v>0</v>
      </c>
      <c r="ED163">
        <v>0</v>
      </c>
      <c r="EE163">
        <v>1</v>
      </c>
      <c r="EF163">
        <v>2</v>
      </c>
      <c r="EG163">
        <v>0</v>
      </c>
      <c r="EH163">
        <v>11</v>
      </c>
      <c r="EI163">
        <v>2</v>
      </c>
      <c r="EJ163">
        <v>2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2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</row>
    <row r="164" spans="1:172" ht="14.25">
      <c r="A164">
        <v>159</v>
      </c>
      <c r="B164" t="str">
        <f t="shared" si="28"/>
        <v>101003</v>
      </c>
      <c r="C164" t="str">
        <f t="shared" si="29"/>
        <v>Gorzkowice</v>
      </c>
      <c r="D164" t="str">
        <f t="shared" si="27"/>
        <v>piotrkowski</v>
      </c>
      <c r="E164" t="str">
        <f t="shared" si="23"/>
        <v>łódzkie</v>
      </c>
      <c r="F164">
        <v>5</v>
      </c>
      <c r="G164" t="str">
        <f>"Gimnazjum w Gorzkowicach, ul. Szkolna 8, 97-350 Gorzkowice"</f>
        <v>Gimnazjum w Gorzkowicach, ul. Szkolna 8, 97-350 Gorzkowice</v>
      </c>
      <c r="H164">
        <v>1344</v>
      </c>
      <c r="I164">
        <v>1344</v>
      </c>
      <c r="J164">
        <v>0</v>
      </c>
      <c r="K164">
        <v>940</v>
      </c>
      <c r="L164">
        <v>630</v>
      </c>
      <c r="M164">
        <v>310</v>
      </c>
      <c r="N164">
        <v>310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310</v>
      </c>
      <c r="Z164">
        <v>0</v>
      </c>
      <c r="AA164">
        <v>0</v>
      </c>
      <c r="AB164">
        <v>310</v>
      </c>
      <c r="AC164">
        <v>13</v>
      </c>
      <c r="AD164">
        <v>297</v>
      </c>
      <c r="AE164">
        <v>41</v>
      </c>
      <c r="AF164">
        <v>7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33</v>
      </c>
      <c r="AP164">
        <v>41</v>
      </c>
      <c r="AQ164">
        <v>1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1</v>
      </c>
      <c r="AZ164">
        <v>0</v>
      </c>
      <c r="BA164">
        <v>0</v>
      </c>
      <c r="BB164">
        <v>1</v>
      </c>
      <c r="BC164">
        <v>27</v>
      </c>
      <c r="BD164">
        <v>3</v>
      </c>
      <c r="BE164">
        <v>3</v>
      </c>
      <c r="BF164">
        <v>0</v>
      </c>
      <c r="BG164">
        <v>0</v>
      </c>
      <c r="BH164">
        <v>4</v>
      </c>
      <c r="BI164">
        <v>0</v>
      </c>
      <c r="BJ164">
        <v>2</v>
      </c>
      <c r="BK164">
        <v>0</v>
      </c>
      <c r="BL164">
        <v>1</v>
      </c>
      <c r="BM164">
        <v>14</v>
      </c>
      <c r="BN164">
        <v>27</v>
      </c>
      <c r="BO164">
        <v>135</v>
      </c>
      <c r="BP164">
        <v>129</v>
      </c>
      <c r="BQ164">
        <v>3</v>
      </c>
      <c r="BR164">
        <v>2</v>
      </c>
      <c r="BS164">
        <v>0</v>
      </c>
      <c r="BT164">
        <v>0</v>
      </c>
      <c r="BU164">
        <v>0</v>
      </c>
      <c r="BV164">
        <v>1</v>
      </c>
      <c r="BW164">
        <v>0</v>
      </c>
      <c r="BX164">
        <v>0</v>
      </c>
      <c r="BY164">
        <v>0</v>
      </c>
      <c r="BZ164">
        <v>135</v>
      </c>
      <c r="CA164">
        <v>5</v>
      </c>
      <c r="CB164">
        <v>1</v>
      </c>
      <c r="CC164">
        <v>0</v>
      </c>
      <c r="CD164">
        <v>2</v>
      </c>
      <c r="CE164">
        <v>1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1</v>
      </c>
      <c r="CL164">
        <v>5</v>
      </c>
      <c r="CM164">
        <v>12</v>
      </c>
      <c r="CN164">
        <v>7</v>
      </c>
      <c r="CO164">
        <v>2</v>
      </c>
      <c r="CP164">
        <v>2</v>
      </c>
      <c r="CQ164">
        <v>1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12</v>
      </c>
      <c r="CY164">
        <v>22</v>
      </c>
      <c r="CZ164">
        <v>11</v>
      </c>
      <c r="DA164">
        <v>1</v>
      </c>
      <c r="DB164">
        <v>2</v>
      </c>
      <c r="DC164">
        <v>2</v>
      </c>
      <c r="DD164">
        <v>2</v>
      </c>
      <c r="DE164">
        <v>0</v>
      </c>
      <c r="DF164">
        <v>1</v>
      </c>
      <c r="DG164">
        <v>3</v>
      </c>
      <c r="DH164">
        <v>0</v>
      </c>
      <c r="DI164">
        <v>0</v>
      </c>
      <c r="DJ164">
        <v>22</v>
      </c>
      <c r="DK164">
        <v>32</v>
      </c>
      <c r="DL164">
        <v>28</v>
      </c>
      <c r="DM164">
        <v>3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1</v>
      </c>
      <c r="DT164">
        <v>0</v>
      </c>
      <c r="DU164">
        <v>0</v>
      </c>
      <c r="DV164">
        <v>32</v>
      </c>
      <c r="DW164">
        <v>15</v>
      </c>
      <c r="DX164">
        <v>3</v>
      </c>
      <c r="DY164">
        <v>6</v>
      </c>
      <c r="DZ164">
        <v>0</v>
      </c>
      <c r="EA164">
        <v>0</v>
      </c>
      <c r="EB164">
        <v>0</v>
      </c>
      <c r="EC164">
        <v>2</v>
      </c>
      <c r="ED164">
        <v>0</v>
      </c>
      <c r="EE164">
        <v>4</v>
      </c>
      <c r="EF164">
        <v>0</v>
      </c>
      <c r="EG164">
        <v>0</v>
      </c>
      <c r="EH164">
        <v>15</v>
      </c>
      <c r="EI164">
        <v>4</v>
      </c>
      <c r="EJ164">
        <v>3</v>
      </c>
      <c r="EK164">
        <v>1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4</v>
      </c>
      <c r="ES164">
        <v>1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1</v>
      </c>
      <c r="FB164">
        <v>0</v>
      </c>
      <c r="FC164">
        <v>0</v>
      </c>
      <c r="FD164">
        <v>1</v>
      </c>
      <c r="FE164">
        <v>2</v>
      </c>
      <c r="FF164">
        <v>1</v>
      </c>
      <c r="FG164">
        <v>0</v>
      </c>
      <c r="FH164">
        <v>0</v>
      </c>
      <c r="FI164">
        <v>0</v>
      </c>
      <c r="FJ164">
        <v>1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2</v>
      </c>
    </row>
    <row r="165" spans="1:172" ht="14.25">
      <c r="A165">
        <v>160</v>
      </c>
      <c r="B165" t="str">
        <f t="shared" si="28"/>
        <v>101003</v>
      </c>
      <c r="C165" t="str">
        <f t="shared" si="29"/>
        <v>Gorzkowice</v>
      </c>
      <c r="D165" t="str">
        <f t="shared" si="27"/>
        <v>piotrkowski</v>
      </c>
      <c r="E165" t="str">
        <f t="shared" si="23"/>
        <v>łódzkie</v>
      </c>
      <c r="F165">
        <v>6</v>
      </c>
      <c r="G165" t="str">
        <f>"Szkoła Podstawowa w Gościnnej, Gościnna 29B, 97-350 Gorzkowice"</f>
        <v>Szkoła Podstawowa w Gościnnej, Gościnna 29B, 97-350 Gorzkowice</v>
      </c>
      <c r="H165">
        <v>516</v>
      </c>
      <c r="I165">
        <v>516</v>
      </c>
      <c r="J165">
        <v>0</v>
      </c>
      <c r="K165">
        <v>360</v>
      </c>
      <c r="L165">
        <v>292</v>
      </c>
      <c r="M165">
        <v>68</v>
      </c>
      <c r="N165">
        <v>68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68</v>
      </c>
      <c r="Z165">
        <v>0</v>
      </c>
      <c r="AA165">
        <v>0</v>
      </c>
      <c r="AB165">
        <v>68</v>
      </c>
      <c r="AC165">
        <v>5</v>
      </c>
      <c r="AD165">
        <v>63</v>
      </c>
      <c r="AE165">
        <v>3</v>
      </c>
      <c r="AF165">
        <v>1</v>
      </c>
      <c r="AG165">
        <v>1</v>
      </c>
      <c r="AH165">
        <v>1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3</v>
      </c>
      <c r="AQ165">
        <v>1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1</v>
      </c>
      <c r="BB165">
        <v>1</v>
      </c>
      <c r="BC165">
        <v>5</v>
      </c>
      <c r="BD165">
        <v>0</v>
      </c>
      <c r="BE165">
        <v>0</v>
      </c>
      <c r="BF165">
        <v>0</v>
      </c>
      <c r="BG165">
        <v>0</v>
      </c>
      <c r="BH165">
        <v>1</v>
      </c>
      <c r="BI165">
        <v>0</v>
      </c>
      <c r="BJ165">
        <v>0</v>
      </c>
      <c r="BK165">
        <v>0</v>
      </c>
      <c r="BL165">
        <v>0</v>
      </c>
      <c r="BM165">
        <v>4</v>
      </c>
      <c r="BN165">
        <v>5</v>
      </c>
      <c r="BO165">
        <v>32</v>
      </c>
      <c r="BP165">
        <v>31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1</v>
      </c>
      <c r="BZ165">
        <v>32</v>
      </c>
      <c r="CA165">
        <v>1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1</v>
      </c>
      <c r="CH165">
        <v>0</v>
      </c>
      <c r="CI165">
        <v>0</v>
      </c>
      <c r="CJ165">
        <v>0</v>
      </c>
      <c r="CK165">
        <v>0</v>
      </c>
      <c r="CL165">
        <v>1</v>
      </c>
      <c r="CM165">
        <v>1</v>
      </c>
      <c r="CN165">
        <v>0</v>
      </c>
      <c r="CO165">
        <v>1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1</v>
      </c>
      <c r="CY165">
        <v>4</v>
      </c>
      <c r="CZ165">
        <v>3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1</v>
      </c>
      <c r="DJ165">
        <v>4</v>
      </c>
      <c r="DK165">
        <v>3</v>
      </c>
      <c r="DL165">
        <v>0</v>
      </c>
      <c r="DM165">
        <v>2</v>
      </c>
      <c r="DN165">
        <v>0</v>
      </c>
      <c r="DO165">
        <v>0</v>
      </c>
      <c r="DP165">
        <v>1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3</v>
      </c>
      <c r="DW165">
        <v>13</v>
      </c>
      <c r="DX165">
        <v>0</v>
      </c>
      <c r="DY165">
        <v>2</v>
      </c>
      <c r="DZ165">
        <v>0</v>
      </c>
      <c r="EA165">
        <v>0</v>
      </c>
      <c r="EB165">
        <v>11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13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</row>
    <row r="166" spans="1:172" ht="14.25">
      <c r="A166">
        <v>161</v>
      </c>
      <c r="B166" t="str">
        <f t="shared" si="28"/>
        <v>101003</v>
      </c>
      <c r="C166" t="str">
        <f t="shared" si="29"/>
        <v>Gorzkowice</v>
      </c>
      <c r="D166" t="str">
        <f t="shared" si="27"/>
        <v>piotrkowski</v>
      </c>
      <c r="E166" t="str">
        <f t="shared" si="23"/>
        <v>łódzkie</v>
      </c>
      <c r="F166">
        <v>7</v>
      </c>
      <c r="G166" t="str">
        <f>"OSP Szczepanowice, Szczepanowice 54, 97-350 Gorzkowice"</f>
        <v>OSP Szczepanowice, Szczepanowice 54, 97-350 Gorzkowice</v>
      </c>
      <c r="H166">
        <v>629</v>
      </c>
      <c r="I166">
        <v>629</v>
      </c>
      <c r="J166">
        <v>0</v>
      </c>
      <c r="K166">
        <v>440</v>
      </c>
      <c r="L166">
        <v>357</v>
      </c>
      <c r="M166">
        <v>83</v>
      </c>
      <c r="N166">
        <v>83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83</v>
      </c>
      <c r="Z166">
        <v>0</v>
      </c>
      <c r="AA166">
        <v>0</v>
      </c>
      <c r="AB166">
        <v>83</v>
      </c>
      <c r="AC166">
        <v>5</v>
      </c>
      <c r="AD166">
        <v>78</v>
      </c>
      <c r="AE166">
        <v>8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1</v>
      </c>
      <c r="AM166">
        <v>0</v>
      </c>
      <c r="AN166">
        <v>0</v>
      </c>
      <c r="AO166">
        <v>7</v>
      </c>
      <c r="AP166">
        <v>8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5</v>
      </c>
      <c r="BD166">
        <v>0</v>
      </c>
      <c r="BE166">
        <v>0</v>
      </c>
      <c r="BF166">
        <v>0</v>
      </c>
      <c r="BG166">
        <v>0</v>
      </c>
      <c r="BH166">
        <v>1</v>
      </c>
      <c r="BI166">
        <v>0</v>
      </c>
      <c r="BJ166">
        <v>1</v>
      </c>
      <c r="BK166">
        <v>0</v>
      </c>
      <c r="BL166">
        <v>0</v>
      </c>
      <c r="BM166">
        <v>3</v>
      </c>
      <c r="BN166">
        <v>5</v>
      </c>
      <c r="BO166">
        <v>38</v>
      </c>
      <c r="BP166">
        <v>34</v>
      </c>
      <c r="BQ166">
        <v>2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2</v>
      </c>
      <c r="BY166">
        <v>0</v>
      </c>
      <c r="BZ166">
        <v>38</v>
      </c>
      <c r="CA166">
        <v>1</v>
      </c>
      <c r="CB166">
        <v>1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1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7</v>
      </c>
      <c r="CZ166">
        <v>6</v>
      </c>
      <c r="DA166">
        <v>0</v>
      </c>
      <c r="DB166">
        <v>0</v>
      </c>
      <c r="DC166">
        <v>1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7</v>
      </c>
      <c r="DK166">
        <v>9</v>
      </c>
      <c r="DL166">
        <v>7</v>
      </c>
      <c r="DM166">
        <v>2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9</v>
      </c>
      <c r="DW166">
        <v>9</v>
      </c>
      <c r="DX166">
        <v>0</v>
      </c>
      <c r="DY166">
        <v>8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1</v>
      </c>
      <c r="EF166">
        <v>0</v>
      </c>
      <c r="EG166">
        <v>0</v>
      </c>
      <c r="EH166">
        <v>9</v>
      </c>
      <c r="EI166">
        <v>1</v>
      </c>
      <c r="EJ166">
        <v>1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1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</row>
    <row r="167" spans="1:172" ht="14.25">
      <c r="A167">
        <v>162</v>
      </c>
      <c r="B167" t="str">
        <f t="shared" si="28"/>
        <v>101003</v>
      </c>
      <c r="C167" t="str">
        <f t="shared" si="29"/>
        <v>Gorzkowice</v>
      </c>
      <c r="D167" t="str">
        <f t="shared" si="27"/>
        <v>piotrkowski</v>
      </c>
      <c r="E167" t="str">
        <f t="shared" si="23"/>
        <v>łódzkie</v>
      </c>
      <c r="F167">
        <v>8</v>
      </c>
      <c r="G167" t="str">
        <f>"Szkoła Podstawowa w Krzemieniewicach, Krzemieniewice 59, 97-350 Gorzkowice"</f>
        <v>Szkoła Podstawowa w Krzemieniewicach, Krzemieniewice 59, 97-350 Gorzkowice</v>
      </c>
      <c r="H167">
        <v>925</v>
      </c>
      <c r="I167">
        <v>925</v>
      </c>
      <c r="J167">
        <v>0</v>
      </c>
      <c r="K167">
        <v>650</v>
      </c>
      <c r="L167">
        <v>535</v>
      </c>
      <c r="M167">
        <v>115</v>
      </c>
      <c r="N167">
        <v>115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115</v>
      </c>
      <c r="Z167">
        <v>0</v>
      </c>
      <c r="AA167">
        <v>0</v>
      </c>
      <c r="AB167">
        <v>115</v>
      </c>
      <c r="AC167">
        <v>7</v>
      </c>
      <c r="AD167">
        <v>108</v>
      </c>
      <c r="AE167">
        <v>19</v>
      </c>
      <c r="AF167">
        <v>4</v>
      </c>
      <c r="AG167">
        <v>0</v>
      </c>
      <c r="AH167">
        <v>1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14</v>
      </c>
      <c r="AP167">
        <v>19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7</v>
      </c>
      <c r="BD167">
        <v>1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6</v>
      </c>
      <c r="BN167">
        <v>7</v>
      </c>
      <c r="BO167">
        <v>65</v>
      </c>
      <c r="BP167">
        <v>62</v>
      </c>
      <c r="BQ167">
        <v>1</v>
      </c>
      <c r="BR167">
        <v>0</v>
      </c>
      <c r="BS167">
        <v>2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65</v>
      </c>
      <c r="CA167">
        <v>2</v>
      </c>
      <c r="CB167">
        <v>0</v>
      </c>
      <c r="CC167">
        <v>0</v>
      </c>
      <c r="CD167">
        <v>0</v>
      </c>
      <c r="CE167">
        <v>2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2</v>
      </c>
      <c r="CM167">
        <v>2</v>
      </c>
      <c r="CN167">
        <v>1</v>
      </c>
      <c r="CO167">
        <v>0</v>
      </c>
      <c r="CP167">
        <v>0</v>
      </c>
      <c r="CQ167">
        <v>0</v>
      </c>
      <c r="CR167">
        <v>1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2</v>
      </c>
      <c r="CY167">
        <v>2</v>
      </c>
      <c r="CZ167">
        <v>1</v>
      </c>
      <c r="DA167">
        <v>0</v>
      </c>
      <c r="DB167">
        <v>0</v>
      </c>
      <c r="DC167">
        <v>1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2</v>
      </c>
      <c r="DK167">
        <v>2</v>
      </c>
      <c r="DL167">
        <v>1</v>
      </c>
      <c r="DM167">
        <v>1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2</v>
      </c>
      <c r="DW167">
        <v>6</v>
      </c>
      <c r="DX167">
        <v>3</v>
      </c>
      <c r="DY167">
        <v>0</v>
      </c>
      <c r="DZ167">
        <v>0</v>
      </c>
      <c r="EA167">
        <v>0</v>
      </c>
      <c r="EB167">
        <v>3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6</v>
      </c>
      <c r="EI167">
        <v>2</v>
      </c>
      <c r="EJ167">
        <v>2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2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1</v>
      </c>
      <c r="FF167">
        <v>1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1</v>
      </c>
    </row>
    <row r="168" spans="1:172" ht="14.25">
      <c r="A168">
        <v>163</v>
      </c>
      <c r="B168" t="str">
        <f t="shared" si="28"/>
        <v>101003</v>
      </c>
      <c r="C168" t="str">
        <f t="shared" si="29"/>
        <v>Gorzkowice</v>
      </c>
      <c r="D168" t="str">
        <f t="shared" si="27"/>
        <v>piotrkowski</v>
      </c>
      <c r="E168" t="str">
        <f t="shared" si="23"/>
        <v>łódzkie</v>
      </c>
      <c r="F168">
        <v>9</v>
      </c>
      <c r="G168" t="str">
        <f>"Przedszkole Samorządowe w Gorzkowicach, ul. Kwiatowa 7a, 97-350 Gorzkowice"</f>
        <v>Przedszkole Samorządowe w Gorzkowicach, ul. Kwiatowa 7a, 97-350 Gorzkowice</v>
      </c>
      <c r="H168">
        <v>819</v>
      </c>
      <c r="I168">
        <v>819</v>
      </c>
      <c r="J168">
        <v>0</v>
      </c>
      <c r="K168">
        <v>580</v>
      </c>
      <c r="L168">
        <v>471</v>
      </c>
      <c r="M168">
        <v>109</v>
      </c>
      <c r="N168">
        <v>109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109</v>
      </c>
      <c r="Z168">
        <v>0</v>
      </c>
      <c r="AA168">
        <v>0</v>
      </c>
      <c r="AB168">
        <v>109</v>
      </c>
      <c r="AC168">
        <v>4</v>
      </c>
      <c r="AD168">
        <v>105</v>
      </c>
      <c r="AE168">
        <v>18</v>
      </c>
      <c r="AF168">
        <v>1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17</v>
      </c>
      <c r="AP168">
        <v>18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8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1</v>
      </c>
      <c r="BJ168">
        <v>0</v>
      </c>
      <c r="BK168">
        <v>0</v>
      </c>
      <c r="BL168">
        <v>0</v>
      </c>
      <c r="BM168">
        <v>7</v>
      </c>
      <c r="BN168">
        <v>8</v>
      </c>
      <c r="BO168">
        <v>54</v>
      </c>
      <c r="BP168">
        <v>45</v>
      </c>
      <c r="BQ168">
        <v>0</v>
      </c>
      <c r="BR168">
        <v>0</v>
      </c>
      <c r="BS168">
        <v>1</v>
      </c>
      <c r="BT168">
        <v>0</v>
      </c>
      <c r="BU168">
        <v>4</v>
      </c>
      <c r="BV168">
        <v>0</v>
      </c>
      <c r="BW168">
        <v>1</v>
      </c>
      <c r="BX168">
        <v>0</v>
      </c>
      <c r="BY168">
        <v>3</v>
      </c>
      <c r="BZ168">
        <v>54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2</v>
      </c>
      <c r="CN168">
        <v>2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2</v>
      </c>
      <c r="CY168">
        <v>8</v>
      </c>
      <c r="CZ168">
        <v>5</v>
      </c>
      <c r="DA168">
        <v>0</v>
      </c>
      <c r="DB168">
        <v>0</v>
      </c>
      <c r="DC168">
        <v>1</v>
      </c>
      <c r="DD168">
        <v>0</v>
      </c>
      <c r="DE168">
        <v>1</v>
      </c>
      <c r="DF168">
        <v>0</v>
      </c>
      <c r="DG168">
        <v>0</v>
      </c>
      <c r="DH168">
        <v>1</v>
      </c>
      <c r="DI168">
        <v>0</v>
      </c>
      <c r="DJ168">
        <v>8</v>
      </c>
      <c r="DK168">
        <v>7</v>
      </c>
      <c r="DL168">
        <v>5</v>
      </c>
      <c r="DM168">
        <v>2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7</v>
      </c>
      <c r="DW168">
        <v>7</v>
      </c>
      <c r="DX168">
        <v>1</v>
      </c>
      <c r="DY168">
        <v>1</v>
      </c>
      <c r="DZ168">
        <v>0</v>
      </c>
      <c r="EA168">
        <v>0</v>
      </c>
      <c r="EB168">
        <v>1</v>
      </c>
      <c r="EC168">
        <v>0</v>
      </c>
      <c r="ED168">
        <v>1</v>
      </c>
      <c r="EE168">
        <v>1</v>
      </c>
      <c r="EF168">
        <v>2</v>
      </c>
      <c r="EG168">
        <v>0</v>
      </c>
      <c r="EH168">
        <v>7</v>
      </c>
      <c r="EI168">
        <v>1</v>
      </c>
      <c r="EJ168">
        <v>1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1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</row>
    <row r="169" spans="1:172" ht="14.25">
      <c r="A169">
        <v>164</v>
      </c>
      <c r="B169" t="str">
        <f>"101004"</f>
        <v>101004</v>
      </c>
      <c r="C169" t="str">
        <f>"Grabica"</f>
        <v>Grabica</v>
      </c>
      <c r="D169" t="str">
        <f t="shared" si="27"/>
        <v>piotrkowski</v>
      </c>
      <c r="E169" t="str">
        <f t="shared" si="23"/>
        <v>łódzkie</v>
      </c>
      <c r="F169">
        <v>1</v>
      </c>
      <c r="G169" t="str">
        <f>"Urząd Gminy, Grabica 66, 97-306 Grabica"</f>
        <v>Urząd Gminy, Grabica 66, 97-306 Grabica</v>
      </c>
      <c r="H169">
        <v>945</v>
      </c>
      <c r="I169">
        <v>945</v>
      </c>
      <c r="J169">
        <v>0</v>
      </c>
      <c r="K169">
        <v>660</v>
      </c>
      <c r="L169">
        <v>469</v>
      </c>
      <c r="M169">
        <v>191</v>
      </c>
      <c r="N169">
        <v>191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191</v>
      </c>
      <c r="Z169">
        <v>0</v>
      </c>
      <c r="AA169">
        <v>0</v>
      </c>
      <c r="AB169">
        <v>191</v>
      </c>
      <c r="AC169">
        <v>7</v>
      </c>
      <c r="AD169">
        <v>184</v>
      </c>
      <c r="AE169">
        <v>6</v>
      </c>
      <c r="AF169">
        <v>3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1</v>
      </c>
      <c r="AM169">
        <v>0</v>
      </c>
      <c r="AN169">
        <v>0</v>
      </c>
      <c r="AO169">
        <v>2</v>
      </c>
      <c r="AP169">
        <v>6</v>
      </c>
      <c r="AQ169">
        <v>3</v>
      </c>
      <c r="AR169">
        <v>2</v>
      </c>
      <c r="AS169">
        <v>0</v>
      </c>
      <c r="AT169">
        <v>1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3</v>
      </c>
      <c r="BC169">
        <v>20</v>
      </c>
      <c r="BD169">
        <v>1</v>
      </c>
      <c r="BE169">
        <v>1</v>
      </c>
      <c r="BF169">
        <v>1</v>
      </c>
      <c r="BG169">
        <v>0</v>
      </c>
      <c r="BH169">
        <v>14</v>
      </c>
      <c r="BI169">
        <v>0</v>
      </c>
      <c r="BJ169">
        <v>1</v>
      </c>
      <c r="BK169">
        <v>0</v>
      </c>
      <c r="BL169">
        <v>1</v>
      </c>
      <c r="BM169">
        <v>1</v>
      </c>
      <c r="BN169">
        <v>20</v>
      </c>
      <c r="BO169">
        <v>86</v>
      </c>
      <c r="BP169">
        <v>75</v>
      </c>
      <c r="BQ169">
        <v>4</v>
      </c>
      <c r="BR169">
        <v>2</v>
      </c>
      <c r="BS169">
        <v>1</v>
      </c>
      <c r="BT169">
        <v>1</v>
      </c>
      <c r="BU169">
        <v>2</v>
      </c>
      <c r="BV169">
        <v>0</v>
      </c>
      <c r="BW169">
        <v>0</v>
      </c>
      <c r="BX169">
        <v>0</v>
      </c>
      <c r="BY169">
        <v>1</v>
      </c>
      <c r="BZ169">
        <v>86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2</v>
      </c>
      <c r="CN169">
        <v>0</v>
      </c>
      <c r="CO169">
        <v>0</v>
      </c>
      <c r="CP169">
        <v>0</v>
      </c>
      <c r="CQ169">
        <v>1</v>
      </c>
      <c r="CR169">
        <v>0</v>
      </c>
      <c r="CS169">
        <v>0</v>
      </c>
      <c r="CT169">
        <v>0</v>
      </c>
      <c r="CU169">
        <v>1</v>
      </c>
      <c r="CV169">
        <v>0</v>
      </c>
      <c r="CW169">
        <v>0</v>
      </c>
      <c r="CX169">
        <v>2</v>
      </c>
      <c r="CY169">
        <v>10</v>
      </c>
      <c r="CZ169">
        <v>6</v>
      </c>
      <c r="DA169">
        <v>1</v>
      </c>
      <c r="DB169">
        <v>2</v>
      </c>
      <c r="DC169">
        <v>1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10</v>
      </c>
      <c r="DK169">
        <v>7</v>
      </c>
      <c r="DL169">
        <v>7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7</v>
      </c>
      <c r="DW169">
        <v>48</v>
      </c>
      <c r="DX169">
        <v>2</v>
      </c>
      <c r="DY169">
        <v>11</v>
      </c>
      <c r="DZ169">
        <v>0</v>
      </c>
      <c r="EA169">
        <v>0</v>
      </c>
      <c r="EB169">
        <v>22</v>
      </c>
      <c r="EC169">
        <v>9</v>
      </c>
      <c r="ED169">
        <v>0</v>
      </c>
      <c r="EE169">
        <v>1</v>
      </c>
      <c r="EF169">
        <v>0</v>
      </c>
      <c r="EG169">
        <v>3</v>
      </c>
      <c r="EH169">
        <v>48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2</v>
      </c>
      <c r="ET169">
        <v>1</v>
      </c>
      <c r="EU169">
        <v>1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2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</row>
    <row r="170" spans="1:172" ht="14.25">
      <c r="A170">
        <v>165</v>
      </c>
      <c r="B170" t="str">
        <f>"101004"</f>
        <v>101004</v>
      </c>
      <c r="C170" t="str">
        <f>"Grabica"</f>
        <v>Grabica</v>
      </c>
      <c r="D170" t="str">
        <f t="shared" si="27"/>
        <v>piotrkowski</v>
      </c>
      <c r="E170" t="str">
        <f t="shared" si="23"/>
        <v>łódzkie</v>
      </c>
      <c r="F170">
        <v>2</v>
      </c>
      <c r="G170" t="str">
        <f>"Budynek byłej Szkoły Podstawowej, Krzepczów, Krzepczów Stary 23, 97-306 Grabica"</f>
        <v>Budynek byłej Szkoły Podstawowej, Krzepczów, Krzepczów Stary 23, 97-306 Grabica</v>
      </c>
      <c r="H170">
        <v>1322</v>
      </c>
      <c r="I170">
        <v>1322</v>
      </c>
      <c r="J170">
        <v>0</v>
      </c>
      <c r="K170">
        <v>930</v>
      </c>
      <c r="L170">
        <v>668</v>
      </c>
      <c r="M170">
        <v>262</v>
      </c>
      <c r="N170">
        <v>262</v>
      </c>
      <c r="O170">
        <v>0</v>
      </c>
      <c r="P170">
        <v>0</v>
      </c>
      <c r="Q170">
        <v>3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262</v>
      </c>
      <c r="Z170">
        <v>0</v>
      </c>
      <c r="AA170">
        <v>0</v>
      </c>
      <c r="AB170">
        <v>262</v>
      </c>
      <c r="AC170">
        <v>7</v>
      </c>
      <c r="AD170">
        <v>255</v>
      </c>
      <c r="AE170">
        <v>2</v>
      </c>
      <c r="AF170">
        <v>2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2</v>
      </c>
      <c r="AQ170">
        <v>3</v>
      </c>
      <c r="AR170">
        <v>1</v>
      </c>
      <c r="AS170">
        <v>0</v>
      </c>
      <c r="AT170">
        <v>0</v>
      </c>
      <c r="AU170">
        <v>1</v>
      </c>
      <c r="AV170">
        <v>1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3</v>
      </c>
      <c r="BC170">
        <v>27</v>
      </c>
      <c r="BD170">
        <v>5</v>
      </c>
      <c r="BE170">
        <v>2</v>
      </c>
      <c r="BF170">
        <v>0</v>
      </c>
      <c r="BG170">
        <v>0</v>
      </c>
      <c r="BH170">
        <v>16</v>
      </c>
      <c r="BI170">
        <v>0</v>
      </c>
      <c r="BJ170">
        <v>0</v>
      </c>
      <c r="BK170">
        <v>2</v>
      </c>
      <c r="BL170">
        <v>0</v>
      </c>
      <c r="BM170">
        <v>2</v>
      </c>
      <c r="BN170">
        <v>27</v>
      </c>
      <c r="BO170">
        <v>127</v>
      </c>
      <c r="BP170">
        <v>111</v>
      </c>
      <c r="BQ170">
        <v>2</v>
      </c>
      <c r="BR170">
        <v>2</v>
      </c>
      <c r="BS170">
        <v>5</v>
      </c>
      <c r="BT170">
        <v>0</v>
      </c>
      <c r="BU170">
        <v>2</v>
      </c>
      <c r="BV170">
        <v>0</v>
      </c>
      <c r="BW170">
        <v>0</v>
      </c>
      <c r="BX170">
        <v>1</v>
      </c>
      <c r="BY170">
        <v>4</v>
      </c>
      <c r="BZ170">
        <v>127</v>
      </c>
      <c r="CA170">
        <v>1</v>
      </c>
      <c r="CB170">
        <v>0</v>
      </c>
      <c r="CC170">
        <v>0</v>
      </c>
      <c r="CD170">
        <v>1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1</v>
      </c>
      <c r="CM170">
        <v>6</v>
      </c>
      <c r="CN170">
        <v>3</v>
      </c>
      <c r="CO170">
        <v>0</v>
      </c>
      <c r="CP170">
        <v>0</v>
      </c>
      <c r="CQ170">
        <v>2</v>
      </c>
      <c r="CR170">
        <v>0</v>
      </c>
      <c r="CS170">
        <v>0</v>
      </c>
      <c r="CT170">
        <v>0</v>
      </c>
      <c r="CU170">
        <v>1</v>
      </c>
      <c r="CV170">
        <v>0</v>
      </c>
      <c r="CW170">
        <v>0</v>
      </c>
      <c r="CX170">
        <v>6</v>
      </c>
      <c r="CY170">
        <v>8</v>
      </c>
      <c r="CZ170">
        <v>5</v>
      </c>
      <c r="DA170">
        <v>2</v>
      </c>
      <c r="DB170">
        <v>0</v>
      </c>
      <c r="DC170">
        <v>1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8</v>
      </c>
      <c r="DK170">
        <v>27</v>
      </c>
      <c r="DL170">
        <v>17</v>
      </c>
      <c r="DM170">
        <v>3</v>
      </c>
      <c r="DN170">
        <v>0</v>
      </c>
      <c r="DO170">
        <v>1</v>
      </c>
      <c r="DP170">
        <v>4</v>
      </c>
      <c r="DQ170">
        <v>0</v>
      </c>
      <c r="DR170">
        <v>2</v>
      </c>
      <c r="DS170">
        <v>0</v>
      </c>
      <c r="DT170">
        <v>0</v>
      </c>
      <c r="DU170">
        <v>0</v>
      </c>
      <c r="DV170">
        <v>27</v>
      </c>
      <c r="DW170">
        <v>46</v>
      </c>
      <c r="DX170">
        <v>3</v>
      </c>
      <c r="DY170">
        <v>12</v>
      </c>
      <c r="DZ170">
        <v>0</v>
      </c>
      <c r="EA170">
        <v>1</v>
      </c>
      <c r="EB170">
        <v>15</v>
      </c>
      <c r="EC170">
        <v>12</v>
      </c>
      <c r="ED170">
        <v>0</v>
      </c>
      <c r="EE170">
        <v>1</v>
      </c>
      <c r="EF170">
        <v>2</v>
      </c>
      <c r="EG170">
        <v>0</v>
      </c>
      <c r="EH170">
        <v>46</v>
      </c>
      <c r="EI170">
        <v>2</v>
      </c>
      <c r="EJ170">
        <v>0</v>
      </c>
      <c r="EK170">
        <v>2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2</v>
      </c>
      <c r="ES170">
        <v>1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1</v>
      </c>
      <c r="EZ170">
        <v>0</v>
      </c>
      <c r="FA170">
        <v>0</v>
      </c>
      <c r="FB170">
        <v>0</v>
      </c>
      <c r="FC170">
        <v>0</v>
      </c>
      <c r="FD170">
        <v>1</v>
      </c>
      <c r="FE170">
        <v>5</v>
      </c>
      <c r="FF170">
        <v>0</v>
      </c>
      <c r="FG170">
        <v>0</v>
      </c>
      <c r="FH170">
        <v>0</v>
      </c>
      <c r="FI170">
        <v>1</v>
      </c>
      <c r="FJ170">
        <v>0</v>
      </c>
      <c r="FK170">
        <v>0</v>
      </c>
      <c r="FL170">
        <v>0</v>
      </c>
      <c r="FM170">
        <v>3</v>
      </c>
      <c r="FN170">
        <v>1</v>
      </c>
      <c r="FO170">
        <v>0</v>
      </c>
      <c r="FP170">
        <v>5</v>
      </c>
    </row>
    <row r="171" spans="1:172" ht="14.25">
      <c r="A171">
        <v>166</v>
      </c>
      <c r="B171" t="str">
        <f>"101004"</f>
        <v>101004</v>
      </c>
      <c r="C171" t="str">
        <f>"Grabica"</f>
        <v>Grabica</v>
      </c>
      <c r="D171" t="str">
        <f t="shared" si="27"/>
        <v>piotrkowski</v>
      </c>
      <c r="E171" t="str">
        <f t="shared" si="23"/>
        <v>łódzkie</v>
      </c>
      <c r="F171">
        <v>3</v>
      </c>
      <c r="G171" t="str">
        <f>"Gimnazjum, Szydłów-Kolonia 58, 97-306 Grabica"</f>
        <v>Gimnazjum, Szydłów-Kolonia 58, 97-306 Grabica</v>
      </c>
      <c r="H171">
        <v>1292</v>
      </c>
      <c r="I171">
        <v>1292</v>
      </c>
      <c r="J171">
        <v>0</v>
      </c>
      <c r="K171">
        <v>910</v>
      </c>
      <c r="L171">
        <v>663</v>
      </c>
      <c r="M171">
        <v>247</v>
      </c>
      <c r="N171">
        <v>247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247</v>
      </c>
      <c r="Z171">
        <v>0</v>
      </c>
      <c r="AA171">
        <v>0</v>
      </c>
      <c r="AB171">
        <v>247</v>
      </c>
      <c r="AC171">
        <v>5</v>
      </c>
      <c r="AD171">
        <v>242</v>
      </c>
      <c r="AE171">
        <v>9</v>
      </c>
      <c r="AF171">
        <v>8</v>
      </c>
      <c r="AG171">
        <v>1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9</v>
      </c>
      <c r="AQ171">
        <v>2</v>
      </c>
      <c r="AR171">
        <v>0</v>
      </c>
      <c r="AS171">
        <v>0</v>
      </c>
      <c r="AT171">
        <v>1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1</v>
      </c>
      <c r="BA171">
        <v>0</v>
      </c>
      <c r="BB171">
        <v>2</v>
      </c>
      <c r="BC171">
        <v>17</v>
      </c>
      <c r="BD171">
        <v>0</v>
      </c>
      <c r="BE171">
        <v>1</v>
      </c>
      <c r="BF171">
        <v>0</v>
      </c>
      <c r="BG171">
        <v>1</v>
      </c>
      <c r="BH171">
        <v>7</v>
      </c>
      <c r="BI171">
        <v>1</v>
      </c>
      <c r="BJ171">
        <v>0</v>
      </c>
      <c r="BK171">
        <v>0</v>
      </c>
      <c r="BL171">
        <v>1</v>
      </c>
      <c r="BM171">
        <v>6</v>
      </c>
      <c r="BN171">
        <v>17</v>
      </c>
      <c r="BO171">
        <v>139</v>
      </c>
      <c r="BP171">
        <v>108</v>
      </c>
      <c r="BQ171">
        <v>10</v>
      </c>
      <c r="BR171">
        <v>5</v>
      </c>
      <c r="BS171">
        <v>2</v>
      </c>
      <c r="BT171">
        <v>1</v>
      </c>
      <c r="BU171">
        <v>5</v>
      </c>
      <c r="BV171">
        <v>1</v>
      </c>
      <c r="BW171">
        <v>3</v>
      </c>
      <c r="BX171">
        <v>0</v>
      </c>
      <c r="BY171">
        <v>4</v>
      </c>
      <c r="BZ171">
        <v>139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2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2</v>
      </c>
      <c r="CT171">
        <v>0</v>
      </c>
      <c r="CU171">
        <v>0</v>
      </c>
      <c r="CV171">
        <v>0</v>
      </c>
      <c r="CW171">
        <v>0</v>
      </c>
      <c r="CX171">
        <v>2</v>
      </c>
      <c r="CY171">
        <v>7</v>
      </c>
      <c r="CZ171">
        <v>5</v>
      </c>
      <c r="DA171">
        <v>1</v>
      </c>
      <c r="DB171">
        <v>0</v>
      </c>
      <c r="DC171">
        <v>0</v>
      </c>
      <c r="DD171">
        <v>0</v>
      </c>
      <c r="DE171">
        <v>1</v>
      </c>
      <c r="DF171">
        <v>0</v>
      </c>
      <c r="DG171">
        <v>0</v>
      </c>
      <c r="DH171">
        <v>0</v>
      </c>
      <c r="DI171">
        <v>0</v>
      </c>
      <c r="DJ171">
        <v>7</v>
      </c>
      <c r="DK171">
        <v>15</v>
      </c>
      <c r="DL171">
        <v>13</v>
      </c>
      <c r="DM171">
        <v>2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15</v>
      </c>
      <c r="DW171">
        <v>49</v>
      </c>
      <c r="DX171">
        <v>6</v>
      </c>
      <c r="DY171">
        <v>6</v>
      </c>
      <c r="DZ171">
        <v>1</v>
      </c>
      <c r="EA171">
        <v>1</v>
      </c>
      <c r="EB171">
        <v>17</v>
      </c>
      <c r="EC171">
        <v>11</v>
      </c>
      <c r="ED171">
        <v>0</v>
      </c>
      <c r="EE171">
        <v>3</v>
      </c>
      <c r="EF171">
        <v>0</v>
      </c>
      <c r="EG171">
        <v>4</v>
      </c>
      <c r="EH171">
        <v>49</v>
      </c>
      <c r="EI171">
        <v>1</v>
      </c>
      <c r="EJ171">
        <v>0</v>
      </c>
      <c r="EK171">
        <v>1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1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1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1</v>
      </c>
      <c r="FN171">
        <v>0</v>
      </c>
      <c r="FO171">
        <v>0</v>
      </c>
      <c r="FP171">
        <v>1</v>
      </c>
    </row>
    <row r="172" spans="1:172" ht="14.25">
      <c r="A172">
        <v>167</v>
      </c>
      <c r="B172" t="str">
        <f>"101004"</f>
        <v>101004</v>
      </c>
      <c r="C172" t="str">
        <f>"Grabica"</f>
        <v>Grabica</v>
      </c>
      <c r="D172" t="str">
        <f t="shared" si="27"/>
        <v>piotrkowski</v>
      </c>
      <c r="E172" t="str">
        <f t="shared" si="23"/>
        <v>łódzkie</v>
      </c>
      <c r="F172">
        <v>4</v>
      </c>
      <c r="G172" t="str">
        <f>"Strażnica OSP, Żeronie 7, 97-306 Grabica"</f>
        <v>Strażnica OSP, Żeronie 7, 97-306 Grabica</v>
      </c>
      <c r="H172">
        <v>371</v>
      </c>
      <c r="I172">
        <v>371</v>
      </c>
      <c r="J172">
        <v>0</v>
      </c>
      <c r="K172">
        <v>260</v>
      </c>
      <c r="L172">
        <v>196</v>
      </c>
      <c r="M172">
        <v>64</v>
      </c>
      <c r="N172">
        <v>64</v>
      </c>
      <c r="O172">
        <v>0</v>
      </c>
      <c r="P172">
        <v>0</v>
      </c>
      <c r="Q172">
        <v>1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64</v>
      </c>
      <c r="Z172">
        <v>0</v>
      </c>
      <c r="AA172">
        <v>0</v>
      </c>
      <c r="AB172">
        <v>64</v>
      </c>
      <c r="AC172">
        <v>8</v>
      </c>
      <c r="AD172">
        <v>56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4</v>
      </c>
      <c r="AR172">
        <v>3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1</v>
      </c>
      <c r="BB172">
        <v>4</v>
      </c>
      <c r="BC172">
        <v>1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1</v>
      </c>
      <c r="BN172">
        <v>1</v>
      </c>
      <c r="BO172">
        <v>25</v>
      </c>
      <c r="BP172">
        <v>22</v>
      </c>
      <c r="BQ172">
        <v>1</v>
      </c>
      <c r="BR172">
        <v>0</v>
      </c>
      <c r="BS172">
        <v>1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1</v>
      </c>
      <c r="BZ172">
        <v>25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3</v>
      </c>
      <c r="CN172">
        <v>2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3</v>
      </c>
      <c r="CY172">
        <v>3</v>
      </c>
      <c r="CZ172">
        <v>3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3</v>
      </c>
      <c r="DK172">
        <v>5</v>
      </c>
      <c r="DL172">
        <v>3</v>
      </c>
      <c r="DM172">
        <v>2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5</v>
      </c>
      <c r="DW172">
        <v>15</v>
      </c>
      <c r="DX172">
        <v>0</v>
      </c>
      <c r="DY172">
        <v>3</v>
      </c>
      <c r="DZ172">
        <v>0</v>
      </c>
      <c r="EA172">
        <v>0</v>
      </c>
      <c r="EB172">
        <v>10</v>
      </c>
      <c r="EC172">
        <v>2</v>
      </c>
      <c r="ED172">
        <v>0</v>
      </c>
      <c r="EE172">
        <v>0</v>
      </c>
      <c r="EF172">
        <v>0</v>
      </c>
      <c r="EG172">
        <v>0</v>
      </c>
      <c r="EH172">
        <v>15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</row>
    <row r="173" spans="1:172" ht="14.25">
      <c r="A173">
        <v>168</v>
      </c>
      <c r="B173" t="str">
        <f>"101004"</f>
        <v>101004</v>
      </c>
      <c r="C173" t="str">
        <f>"Grabica"</f>
        <v>Grabica</v>
      </c>
      <c r="D173" t="str">
        <f t="shared" si="27"/>
        <v>piotrkowski</v>
      </c>
      <c r="E173" t="str">
        <f t="shared" si="23"/>
        <v>łódzkie</v>
      </c>
      <c r="F173">
        <v>5</v>
      </c>
      <c r="G173" t="str">
        <f>"Budynek byłej Szkoły Podstawowej, Kamocin 47, 97-306 Grabica"</f>
        <v>Budynek byłej Szkoły Podstawowej, Kamocin 47, 97-306 Grabica</v>
      </c>
      <c r="H173">
        <v>917</v>
      </c>
      <c r="I173">
        <v>917</v>
      </c>
      <c r="J173">
        <v>0</v>
      </c>
      <c r="K173">
        <v>635</v>
      </c>
      <c r="L173">
        <v>463</v>
      </c>
      <c r="M173">
        <v>172</v>
      </c>
      <c r="N173">
        <v>172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172</v>
      </c>
      <c r="Z173">
        <v>0</v>
      </c>
      <c r="AA173">
        <v>0</v>
      </c>
      <c r="AB173">
        <v>172</v>
      </c>
      <c r="AC173">
        <v>8</v>
      </c>
      <c r="AD173">
        <v>164</v>
      </c>
      <c r="AE173">
        <v>2</v>
      </c>
      <c r="AF173">
        <v>1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1</v>
      </c>
      <c r="AP173">
        <v>2</v>
      </c>
      <c r="AQ173">
        <v>2</v>
      </c>
      <c r="AR173">
        <v>2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2</v>
      </c>
      <c r="BC173">
        <v>8</v>
      </c>
      <c r="BD173">
        <v>1</v>
      </c>
      <c r="BE173">
        <v>0</v>
      </c>
      <c r="BF173">
        <v>0</v>
      </c>
      <c r="BG173">
        <v>0</v>
      </c>
      <c r="BH173">
        <v>3</v>
      </c>
      <c r="BI173">
        <v>0</v>
      </c>
      <c r="BJ173">
        <v>0</v>
      </c>
      <c r="BK173">
        <v>0</v>
      </c>
      <c r="BL173">
        <v>0</v>
      </c>
      <c r="BM173">
        <v>4</v>
      </c>
      <c r="BN173">
        <v>8</v>
      </c>
      <c r="BO173">
        <v>84</v>
      </c>
      <c r="BP173">
        <v>71</v>
      </c>
      <c r="BQ173">
        <v>2</v>
      </c>
      <c r="BR173">
        <v>4</v>
      </c>
      <c r="BS173">
        <v>1</v>
      </c>
      <c r="BT173">
        <v>0</v>
      </c>
      <c r="BU173">
        <v>6</v>
      </c>
      <c r="BV173">
        <v>0</v>
      </c>
      <c r="BW173">
        <v>0</v>
      </c>
      <c r="BX173">
        <v>0</v>
      </c>
      <c r="BY173">
        <v>0</v>
      </c>
      <c r="BZ173">
        <v>84</v>
      </c>
      <c r="CA173">
        <v>1</v>
      </c>
      <c r="CB173">
        <v>0</v>
      </c>
      <c r="CC173">
        <v>0</v>
      </c>
      <c r="CD173">
        <v>0</v>
      </c>
      <c r="CE173">
        <v>1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1</v>
      </c>
      <c r="CM173">
        <v>5</v>
      </c>
      <c r="CN173">
        <v>1</v>
      </c>
      <c r="CO173">
        <v>1</v>
      </c>
      <c r="CP173">
        <v>0</v>
      </c>
      <c r="CQ173">
        <v>0</v>
      </c>
      <c r="CR173">
        <v>2</v>
      </c>
      <c r="CS173">
        <v>1</v>
      </c>
      <c r="CT173">
        <v>0</v>
      </c>
      <c r="CU173">
        <v>0</v>
      </c>
      <c r="CV173">
        <v>0</v>
      </c>
      <c r="CW173">
        <v>0</v>
      </c>
      <c r="CX173">
        <v>5</v>
      </c>
      <c r="CY173">
        <v>6</v>
      </c>
      <c r="CZ173">
        <v>3</v>
      </c>
      <c r="DA173">
        <v>0</v>
      </c>
      <c r="DB173">
        <v>0</v>
      </c>
      <c r="DC173">
        <v>1</v>
      </c>
      <c r="DD173">
        <v>0</v>
      </c>
      <c r="DE173">
        <v>0</v>
      </c>
      <c r="DF173">
        <v>1</v>
      </c>
      <c r="DG173">
        <v>1</v>
      </c>
      <c r="DH173">
        <v>0</v>
      </c>
      <c r="DI173">
        <v>0</v>
      </c>
      <c r="DJ173">
        <v>6</v>
      </c>
      <c r="DK173">
        <v>22</v>
      </c>
      <c r="DL173">
        <v>12</v>
      </c>
      <c r="DM173">
        <v>4</v>
      </c>
      <c r="DN173">
        <v>1</v>
      </c>
      <c r="DO173">
        <v>2</v>
      </c>
      <c r="DP173">
        <v>0</v>
      </c>
      <c r="DQ173">
        <v>0</v>
      </c>
      <c r="DR173">
        <v>1</v>
      </c>
      <c r="DS173">
        <v>0</v>
      </c>
      <c r="DT173">
        <v>0</v>
      </c>
      <c r="DU173">
        <v>2</v>
      </c>
      <c r="DV173">
        <v>22</v>
      </c>
      <c r="DW173">
        <v>29</v>
      </c>
      <c r="DX173">
        <v>7</v>
      </c>
      <c r="DY173">
        <v>8</v>
      </c>
      <c r="DZ173">
        <v>0</v>
      </c>
      <c r="EA173">
        <v>0</v>
      </c>
      <c r="EB173">
        <v>3</v>
      </c>
      <c r="EC173">
        <v>8</v>
      </c>
      <c r="ED173">
        <v>0</v>
      </c>
      <c r="EE173">
        <v>2</v>
      </c>
      <c r="EF173">
        <v>0</v>
      </c>
      <c r="EG173">
        <v>1</v>
      </c>
      <c r="EH173">
        <v>29</v>
      </c>
      <c r="EI173">
        <v>2</v>
      </c>
      <c r="EJ173">
        <v>0</v>
      </c>
      <c r="EK173">
        <v>2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2</v>
      </c>
      <c r="ES173">
        <v>3</v>
      </c>
      <c r="ET173">
        <v>3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3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</row>
    <row r="174" spans="1:172" ht="14.25">
      <c r="A174">
        <v>169</v>
      </c>
      <c r="B174" t="str">
        <f>"101005"</f>
        <v>101005</v>
      </c>
      <c r="C174" t="str">
        <f>"Łęki Szlacheckie"</f>
        <v>Łęki Szlacheckie</v>
      </c>
      <c r="D174" t="str">
        <f t="shared" si="27"/>
        <v>piotrkowski</v>
      </c>
      <c r="E174" t="str">
        <f t="shared" si="23"/>
        <v>łódzkie</v>
      </c>
      <c r="F174">
        <v>1</v>
      </c>
      <c r="G174" t="str">
        <f>"Publiczna Szkoła Podstawowa w Łękach Szlacheckich, Łęki Szlacheckie 60, 97-352 Łęki Szlacheckie"</f>
        <v>Publiczna Szkoła Podstawowa w Łękach Szlacheckich, Łęki Szlacheckie 60, 97-352 Łęki Szlacheckie</v>
      </c>
      <c r="H174">
        <v>694</v>
      </c>
      <c r="I174">
        <v>694</v>
      </c>
      <c r="J174">
        <v>0</v>
      </c>
      <c r="K174">
        <v>490</v>
      </c>
      <c r="L174">
        <v>367</v>
      </c>
      <c r="M174">
        <v>123</v>
      </c>
      <c r="N174">
        <v>123</v>
      </c>
      <c r="O174">
        <v>0</v>
      </c>
      <c r="P174">
        <v>0</v>
      </c>
      <c r="Q174">
        <v>2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123</v>
      </c>
      <c r="Z174">
        <v>0</v>
      </c>
      <c r="AA174">
        <v>0</v>
      </c>
      <c r="AB174">
        <v>123</v>
      </c>
      <c r="AC174">
        <v>3</v>
      </c>
      <c r="AD174">
        <v>120</v>
      </c>
      <c r="AE174">
        <v>4</v>
      </c>
      <c r="AF174">
        <v>2</v>
      </c>
      <c r="AG174">
        <v>1</v>
      </c>
      <c r="AH174">
        <v>0</v>
      </c>
      <c r="AI174">
        <v>0</v>
      </c>
      <c r="AJ174">
        <v>0</v>
      </c>
      <c r="AK174">
        <v>0</v>
      </c>
      <c r="AL174">
        <v>1</v>
      </c>
      <c r="AM174">
        <v>0</v>
      </c>
      <c r="AN174">
        <v>0</v>
      </c>
      <c r="AO174">
        <v>0</v>
      </c>
      <c r="AP174">
        <v>4</v>
      </c>
      <c r="AQ174">
        <v>1</v>
      </c>
      <c r="AR174">
        <v>0</v>
      </c>
      <c r="AS174">
        <v>1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1</v>
      </c>
      <c r="BC174">
        <v>7</v>
      </c>
      <c r="BD174">
        <v>0</v>
      </c>
      <c r="BE174">
        <v>2</v>
      </c>
      <c r="BF174">
        <v>0</v>
      </c>
      <c r="BG174">
        <v>0</v>
      </c>
      <c r="BH174">
        <v>1</v>
      </c>
      <c r="BI174">
        <v>0</v>
      </c>
      <c r="BJ174">
        <v>0</v>
      </c>
      <c r="BK174">
        <v>0</v>
      </c>
      <c r="BL174">
        <v>0</v>
      </c>
      <c r="BM174">
        <v>4</v>
      </c>
      <c r="BN174">
        <v>7</v>
      </c>
      <c r="BO174">
        <v>71</v>
      </c>
      <c r="BP174">
        <v>70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1</v>
      </c>
      <c r="BX174">
        <v>0</v>
      </c>
      <c r="BY174">
        <v>0</v>
      </c>
      <c r="BZ174">
        <v>71</v>
      </c>
      <c r="CA174">
        <v>1</v>
      </c>
      <c r="CB174">
        <v>0</v>
      </c>
      <c r="CC174">
        <v>0</v>
      </c>
      <c r="CD174">
        <v>1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1</v>
      </c>
      <c r="CM174">
        <v>1</v>
      </c>
      <c r="CN174">
        <v>0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1</v>
      </c>
      <c r="CY174">
        <v>10</v>
      </c>
      <c r="CZ174">
        <v>6</v>
      </c>
      <c r="DA174">
        <v>1</v>
      </c>
      <c r="DB174">
        <v>0</v>
      </c>
      <c r="DC174">
        <v>0</v>
      </c>
      <c r="DD174">
        <v>0</v>
      </c>
      <c r="DE174">
        <v>2</v>
      </c>
      <c r="DF174">
        <v>0</v>
      </c>
      <c r="DG174">
        <v>1</v>
      </c>
      <c r="DH174">
        <v>0</v>
      </c>
      <c r="DI174">
        <v>0</v>
      </c>
      <c r="DJ174">
        <v>10</v>
      </c>
      <c r="DK174">
        <v>9</v>
      </c>
      <c r="DL174">
        <v>7</v>
      </c>
      <c r="DM174">
        <v>1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1</v>
      </c>
      <c r="DU174">
        <v>0</v>
      </c>
      <c r="DV174">
        <v>9</v>
      </c>
      <c r="DW174">
        <v>15</v>
      </c>
      <c r="DX174">
        <v>1</v>
      </c>
      <c r="DY174">
        <v>1</v>
      </c>
      <c r="DZ174">
        <v>1</v>
      </c>
      <c r="EA174">
        <v>0</v>
      </c>
      <c r="EB174">
        <v>4</v>
      </c>
      <c r="EC174">
        <v>1</v>
      </c>
      <c r="ED174">
        <v>0</v>
      </c>
      <c r="EE174">
        <v>3</v>
      </c>
      <c r="EF174">
        <v>2</v>
      </c>
      <c r="EG174">
        <v>2</v>
      </c>
      <c r="EH174">
        <v>15</v>
      </c>
      <c r="EI174">
        <v>1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1</v>
      </c>
      <c r="ER174">
        <v>1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</row>
    <row r="175" spans="1:172" ht="14.25">
      <c r="A175">
        <v>170</v>
      </c>
      <c r="B175" t="str">
        <f>"101005"</f>
        <v>101005</v>
      </c>
      <c r="C175" t="str">
        <f>"Łęki Szlacheckie"</f>
        <v>Łęki Szlacheckie</v>
      </c>
      <c r="D175" t="str">
        <f t="shared" si="27"/>
        <v>piotrkowski</v>
      </c>
      <c r="E175" t="str">
        <f t="shared" si="23"/>
        <v>łódzkie</v>
      </c>
      <c r="F175">
        <v>2</v>
      </c>
      <c r="G175" t="str">
        <f>"Publiczna Szkoła Podstawowa w Łękach Szlacheckich, Łęki Szlacheckie 60, 97-352 Łęki Szlacheckie"</f>
        <v>Publiczna Szkoła Podstawowa w Łękach Szlacheckich, Łęki Szlacheckie 60, 97-352 Łęki Szlacheckie</v>
      </c>
      <c r="H175">
        <v>814</v>
      </c>
      <c r="I175">
        <v>814</v>
      </c>
      <c r="J175">
        <v>0</v>
      </c>
      <c r="K175">
        <v>570</v>
      </c>
      <c r="L175">
        <v>501</v>
      </c>
      <c r="M175">
        <v>69</v>
      </c>
      <c r="N175">
        <v>69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69</v>
      </c>
      <c r="Z175">
        <v>0</v>
      </c>
      <c r="AA175">
        <v>0</v>
      </c>
      <c r="AB175">
        <v>69</v>
      </c>
      <c r="AC175">
        <v>1</v>
      </c>
      <c r="AD175">
        <v>68</v>
      </c>
      <c r="AE175">
        <v>1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0</v>
      </c>
      <c r="AP175">
        <v>1</v>
      </c>
      <c r="AQ175">
        <v>1</v>
      </c>
      <c r="AR175">
        <v>1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1</v>
      </c>
      <c r="BC175">
        <v>3</v>
      </c>
      <c r="BD175">
        <v>1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2</v>
      </c>
      <c r="BN175">
        <v>3</v>
      </c>
      <c r="BO175">
        <v>40</v>
      </c>
      <c r="BP175">
        <v>37</v>
      </c>
      <c r="BQ175">
        <v>1</v>
      </c>
      <c r="BR175">
        <v>0</v>
      </c>
      <c r="BS175">
        <v>0</v>
      </c>
      <c r="BT175">
        <v>0</v>
      </c>
      <c r="BU175">
        <v>1</v>
      </c>
      <c r="BV175">
        <v>1</v>
      </c>
      <c r="BW175">
        <v>0</v>
      </c>
      <c r="BX175">
        <v>0</v>
      </c>
      <c r="BY175">
        <v>0</v>
      </c>
      <c r="BZ175">
        <v>40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2</v>
      </c>
      <c r="CN175">
        <v>2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2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5</v>
      </c>
      <c r="DL175">
        <v>2</v>
      </c>
      <c r="DM175">
        <v>2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1</v>
      </c>
      <c r="DU175">
        <v>0</v>
      </c>
      <c r="DV175">
        <v>5</v>
      </c>
      <c r="DW175">
        <v>15</v>
      </c>
      <c r="DX175">
        <v>0</v>
      </c>
      <c r="DY175">
        <v>0</v>
      </c>
      <c r="DZ175">
        <v>0</v>
      </c>
      <c r="EA175">
        <v>0</v>
      </c>
      <c r="EB175">
        <v>1</v>
      </c>
      <c r="EC175">
        <v>2</v>
      </c>
      <c r="ED175">
        <v>0</v>
      </c>
      <c r="EE175">
        <v>1</v>
      </c>
      <c r="EF175">
        <v>1</v>
      </c>
      <c r="EG175">
        <v>10</v>
      </c>
      <c r="EH175">
        <v>15</v>
      </c>
      <c r="EI175">
        <v>1</v>
      </c>
      <c r="EJ175">
        <v>0</v>
      </c>
      <c r="EK175">
        <v>1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</row>
    <row r="176" spans="1:172" ht="14.25">
      <c r="A176">
        <v>171</v>
      </c>
      <c r="B176" t="str">
        <f>"101005"</f>
        <v>101005</v>
      </c>
      <c r="C176" t="str">
        <f>"Łęki Szlacheckie"</f>
        <v>Łęki Szlacheckie</v>
      </c>
      <c r="D176" t="str">
        <f t="shared" si="27"/>
        <v>piotrkowski</v>
      </c>
      <c r="E176" t="str">
        <f t="shared" si="23"/>
        <v>łódzkie</v>
      </c>
      <c r="F176">
        <v>3</v>
      </c>
      <c r="G176" t="str">
        <f>"Publiczna Szkoła Podstawowa w Trzepnicy, Trzepnica-Kolonia 8, 97-352 Łęki Szlacheckie"</f>
        <v>Publiczna Szkoła Podstawowa w Trzepnicy, Trzepnica-Kolonia 8, 97-352 Łęki Szlacheckie</v>
      </c>
      <c r="H176">
        <v>876</v>
      </c>
      <c r="I176">
        <v>876</v>
      </c>
      <c r="J176">
        <v>0</v>
      </c>
      <c r="K176">
        <v>620</v>
      </c>
      <c r="L176">
        <v>483</v>
      </c>
      <c r="M176">
        <v>137</v>
      </c>
      <c r="N176">
        <v>137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137</v>
      </c>
      <c r="Z176">
        <v>0</v>
      </c>
      <c r="AA176">
        <v>0</v>
      </c>
      <c r="AB176">
        <v>137</v>
      </c>
      <c r="AC176">
        <v>6</v>
      </c>
      <c r="AD176">
        <v>131</v>
      </c>
      <c r="AE176">
        <v>4</v>
      </c>
      <c r="AF176">
        <v>1</v>
      </c>
      <c r="AG176">
        <v>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2</v>
      </c>
      <c r="AP176">
        <v>4</v>
      </c>
      <c r="AQ176">
        <v>2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2</v>
      </c>
      <c r="BB176">
        <v>2</v>
      </c>
      <c r="BC176">
        <v>16</v>
      </c>
      <c r="BD176">
        <v>3</v>
      </c>
      <c r="BE176">
        <v>1</v>
      </c>
      <c r="BF176">
        <v>1</v>
      </c>
      <c r="BG176">
        <v>0</v>
      </c>
      <c r="BH176">
        <v>9</v>
      </c>
      <c r="BI176">
        <v>0</v>
      </c>
      <c r="BJ176">
        <v>0</v>
      </c>
      <c r="BK176">
        <v>0</v>
      </c>
      <c r="BL176">
        <v>1</v>
      </c>
      <c r="BM176">
        <v>1</v>
      </c>
      <c r="BN176">
        <v>16</v>
      </c>
      <c r="BO176">
        <v>55</v>
      </c>
      <c r="BP176">
        <v>42</v>
      </c>
      <c r="BQ176">
        <v>1</v>
      </c>
      <c r="BR176">
        <v>1</v>
      </c>
      <c r="BS176">
        <v>3</v>
      </c>
      <c r="BT176">
        <v>3</v>
      </c>
      <c r="BU176">
        <v>4</v>
      </c>
      <c r="BV176">
        <v>0</v>
      </c>
      <c r="BW176">
        <v>0</v>
      </c>
      <c r="BX176">
        <v>0</v>
      </c>
      <c r="BY176">
        <v>1</v>
      </c>
      <c r="BZ176">
        <v>55</v>
      </c>
      <c r="CA176">
        <v>5</v>
      </c>
      <c r="CB176">
        <v>1</v>
      </c>
      <c r="CC176">
        <v>1</v>
      </c>
      <c r="CD176">
        <v>1</v>
      </c>
      <c r="CE176">
        <v>0</v>
      </c>
      <c r="CF176">
        <v>0</v>
      </c>
      <c r="CG176">
        <v>0</v>
      </c>
      <c r="CH176">
        <v>1</v>
      </c>
      <c r="CI176">
        <v>0</v>
      </c>
      <c r="CJ176">
        <v>0</v>
      </c>
      <c r="CK176">
        <v>1</v>
      </c>
      <c r="CL176">
        <v>5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3</v>
      </c>
      <c r="CZ176">
        <v>3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3</v>
      </c>
      <c r="DK176">
        <v>15</v>
      </c>
      <c r="DL176">
        <v>7</v>
      </c>
      <c r="DM176">
        <v>3</v>
      </c>
      <c r="DN176">
        <v>0</v>
      </c>
      <c r="DO176">
        <v>0</v>
      </c>
      <c r="DP176">
        <v>3</v>
      </c>
      <c r="DQ176">
        <v>1</v>
      </c>
      <c r="DR176">
        <v>0</v>
      </c>
      <c r="DS176">
        <v>0</v>
      </c>
      <c r="DT176">
        <v>0</v>
      </c>
      <c r="DU176">
        <v>1</v>
      </c>
      <c r="DV176">
        <v>15</v>
      </c>
      <c r="DW176">
        <v>31</v>
      </c>
      <c r="DX176">
        <v>2</v>
      </c>
      <c r="DY176">
        <v>2</v>
      </c>
      <c r="DZ176">
        <v>0</v>
      </c>
      <c r="EA176">
        <v>0</v>
      </c>
      <c r="EB176">
        <v>4</v>
      </c>
      <c r="EC176">
        <v>0</v>
      </c>
      <c r="ED176">
        <v>0</v>
      </c>
      <c r="EE176">
        <v>9</v>
      </c>
      <c r="EF176">
        <v>1</v>
      </c>
      <c r="EG176">
        <v>13</v>
      </c>
      <c r="EH176">
        <v>31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</row>
    <row r="177" spans="1:172" ht="14.25">
      <c r="A177">
        <v>172</v>
      </c>
      <c r="B177" t="str">
        <f>"101005"</f>
        <v>101005</v>
      </c>
      <c r="C177" t="str">
        <f>"Łęki Szlacheckie"</f>
        <v>Łęki Szlacheckie</v>
      </c>
      <c r="D177" t="str">
        <f t="shared" si="27"/>
        <v>piotrkowski</v>
      </c>
      <c r="E177" t="str">
        <f t="shared" si="23"/>
        <v>łódzkie</v>
      </c>
      <c r="F177">
        <v>4</v>
      </c>
      <c r="G177" t="str">
        <f>"Publiczne Gimnazjum w Tomawie, Tomawa 26, 97-352 Łęki Szlacheckie"</f>
        <v>Publiczne Gimnazjum w Tomawie, Tomawa 26, 97-352 Łęki Szlacheckie</v>
      </c>
      <c r="H177">
        <v>562</v>
      </c>
      <c r="I177">
        <v>562</v>
      </c>
      <c r="J177">
        <v>0</v>
      </c>
      <c r="K177">
        <v>400</v>
      </c>
      <c r="L177">
        <v>343</v>
      </c>
      <c r="M177">
        <v>57</v>
      </c>
      <c r="N177">
        <v>57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57</v>
      </c>
      <c r="Z177">
        <v>0</v>
      </c>
      <c r="AA177">
        <v>0</v>
      </c>
      <c r="AB177">
        <v>57</v>
      </c>
      <c r="AC177">
        <v>1</v>
      </c>
      <c r="AD177">
        <v>56</v>
      </c>
      <c r="AE177">
        <v>1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1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5</v>
      </c>
      <c r="BD177">
        <v>1</v>
      </c>
      <c r="BE177">
        <v>0</v>
      </c>
      <c r="BF177">
        <v>0</v>
      </c>
      <c r="BG177">
        <v>0</v>
      </c>
      <c r="BH177">
        <v>2</v>
      </c>
      <c r="BI177">
        <v>0</v>
      </c>
      <c r="BJ177">
        <v>0</v>
      </c>
      <c r="BK177">
        <v>0</v>
      </c>
      <c r="BL177">
        <v>0</v>
      </c>
      <c r="BM177">
        <v>2</v>
      </c>
      <c r="BN177">
        <v>5</v>
      </c>
      <c r="BO177">
        <v>25</v>
      </c>
      <c r="BP177">
        <v>21</v>
      </c>
      <c r="BQ177">
        <v>2</v>
      </c>
      <c r="BR177">
        <v>2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25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1</v>
      </c>
      <c r="CZ177">
        <v>1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1</v>
      </c>
      <c r="DK177">
        <v>7</v>
      </c>
      <c r="DL177">
        <v>7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7</v>
      </c>
      <c r="DW177">
        <v>16</v>
      </c>
      <c r="DX177">
        <v>3</v>
      </c>
      <c r="DY177">
        <v>1</v>
      </c>
      <c r="DZ177">
        <v>0</v>
      </c>
      <c r="EA177">
        <v>0</v>
      </c>
      <c r="EB177">
        <v>9</v>
      </c>
      <c r="EC177">
        <v>0</v>
      </c>
      <c r="ED177">
        <v>0</v>
      </c>
      <c r="EE177">
        <v>1</v>
      </c>
      <c r="EF177">
        <v>0</v>
      </c>
      <c r="EG177">
        <v>2</v>
      </c>
      <c r="EH177">
        <v>16</v>
      </c>
      <c r="EI177">
        <v>1</v>
      </c>
      <c r="EJ177">
        <v>0</v>
      </c>
      <c r="EK177">
        <v>1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1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</row>
    <row r="178" spans="1:172" ht="14.25">
      <c r="A178">
        <v>173</v>
      </c>
      <c r="B178" t="str">
        <f aca="true" t="shared" si="30" ref="B178:B186">"101006"</f>
        <v>101006</v>
      </c>
      <c r="C178" t="str">
        <f aca="true" t="shared" si="31" ref="C178:C186">"Moszczenica"</f>
        <v>Moszczenica</v>
      </c>
      <c r="D178" t="str">
        <f t="shared" si="27"/>
        <v>piotrkowski</v>
      </c>
      <c r="E178" t="str">
        <f t="shared" si="23"/>
        <v>łódzkie</v>
      </c>
      <c r="F178">
        <v>1</v>
      </c>
      <c r="G178" t="str">
        <f>"Szkoła Podstawowa, Gazomia Stara 29, 97-310 Moszczenica"</f>
        <v>Szkoła Podstawowa, Gazomia Stara 29, 97-310 Moszczenica</v>
      </c>
      <c r="H178">
        <v>1490</v>
      </c>
      <c r="I178">
        <v>1490</v>
      </c>
      <c r="J178">
        <v>0</v>
      </c>
      <c r="K178">
        <v>1047</v>
      </c>
      <c r="L178">
        <v>810</v>
      </c>
      <c r="M178">
        <v>237</v>
      </c>
      <c r="N178">
        <v>237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237</v>
      </c>
      <c r="Z178">
        <v>0</v>
      </c>
      <c r="AA178">
        <v>0</v>
      </c>
      <c r="AB178">
        <v>237</v>
      </c>
      <c r="AC178">
        <v>8</v>
      </c>
      <c r="AD178">
        <v>229</v>
      </c>
      <c r="AE178">
        <v>3</v>
      </c>
      <c r="AF178">
        <v>0</v>
      </c>
      <c r="AG178">
        <v>1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2</v>
      </c>
      <c r="AP178">
        <v>3</v>
      </c>
      <c r="AQ178">
        <v>1</v>
      </c>
      <c r="AR178">
        <v>1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1</v>
      </c>
      <c r="BC178">
        <v>39</v>
      </c>
      <c r="BD178">
        <v>1</v>
      </c>
      <c r="BE178">
        <v>0</v>
      </c>
      <c r="BF178">
        <v>0</v>
      </c>
      <c r="BG178">
        <v>0</v>
      </c>
      <c r="BH178">
        <v>36</v>
      </c>
      <c r="BI178">
        <v>0</v>
      </c>
      <c r="BJ178">
        <v>0</v>
      </c>
      <c r="BK178">
        <v>0</v>
      </c>
      <c r="BL178">
        <v>0</v>
      </c>
      <c r="BM178">
        <v>2</v>
      </c>
      <c r="BN178">
        <v>39</v>
      </c>
      <c r="BO178">
        <v>116</v>
      </c>
      <c r="BP178">
        <v>100</v>
      </c>
      <c r="BQ178">
        <v>6</v>
      </c>
      <c r="BR178">
        <v>3</v>
      </c>
      <c r="BS178">
        <v>0</v>
      </c>
      <c r="BT178">
        <v>0</v>
      </c>
      <c r="BU178">
        <v>2</v>
      </c>
      <c r="BV178">
        <v>0</v>
      </c>
      <c r="BW178">
        <v>1</v>
      </c>
      <c r="BX178">
        <v>4</v>
      </c>
      <c r="BY178">
        <v>0</v>
      </c>
      <c r="BZ178">
        <v>116</v>
      </c>
      <c r="CA178">
        <v>2</v>
      </c>
      <c r="CB178">
        <v>2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2</v>
      </c>
      <c r="CM178">
        <v>7</v>
      </c>
      <c r="CN178">
        <v>6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7</v>
      </c>
      <c r="CY178">
        <v>11</v>
      </c>
      <c r="CZ178">
        <v>10</v>
      </c>
      <c r="DA178">
        <v>1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11</v>
      </c>
      <c r="DK178">
        <v>21</v>
      </c>
      <c r="DL178">
        <v>8</v>
      </c>
      <c r="DM178">
        <v>8</v>
      </c>
      <c r="DN178">
        <v>0</v>
      </c>
      <c r="DO178">
        <v>1</v>
      </c>
      <c r="DP178">
        <v>1</v>
      </c>
      <c r="DQ178">
        <v>0</v>
      </c>
      <c r="DR178">
        <v>0</v>
      </c>
      <c r="DS178">
        <v>0</v>
      </c>
      <c r="DT178">
        <v>0</v>
      </c>
      <c r="DU178">
        <v>3</v>
      </c>
      <c r="DV178">
        <v>21</v>
      </c>
      <c r="DW178">
        <v>27</v>
      </c>
      <c r="DX178">
        <v>3</v>
      </c>
      <c r="DY178">
        <v>2</v>
      </c>
      <c r="DZ178">
        <v>1</v>
      </c>
      <c r="EA178">
        <v>0</v>
      </c>
      <c r="EB178">
        <v>13</v>
      </c>
      <c r="EC178">
        <v>3</v>
      </c>
      <c r="ED178">
        <v>0</v>
      </c>
      <c r="EE178">
        <v>4</v>
      </c>
      <c r="EF178">
        <v>0</v>
      </c>
      <c r="EG178">
        <v>1</v>
      </c>
      <c r="EH178">
        <v>27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1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1</v>
      </c>
      <c r="FB178">
        <v>0</v>
      </c>
      <c r="FC178">
        <v>0</v>
      </c>
      <c r="FD178">
        <v>1</v>
      </c>
      <c r="FE178">
        <v>1</v>
      </c>
      <c r="FF178">
        <v>1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1</v>
      </c>
    </row>
    <row r="179" spans="1:172" ht="14.25">
      <c r="A179">
        <v>174</v>
      </c>
      <c r="B179" t="str">
        <f t="shared" si="30"/>
        <v>101006</v>
      </c>
      <c r="C179" t="str">
        <f t="shared" si="31"/>
        <v>Moszczenica</v>
      </c>
      <c r="D179" t="str">
        <f t="shared" si="27"/>
        <v>piotrkowski</v>
      </c>
      <c r="E179" t="str">
        <f t="shared" si="23"/>
        <v>łódzkie</v>
      </c>
      <c r="F179">
        <v>2</v>
      </c>
      <c r="G179" t="str">
        <f>"Szkoła Podstawowa, ul. Dworcowa 9, 97-310 Moszczenica"</f>
        <v>Szkoła Podstawowa, ul. Dworcowa 9, 97-310 Moszczenica</v>
      </c>
      <c r="H179">
        <v>1327</v>
      </c>
      <c r="I179">
        <v>1327</v>
      </c>
      <c r="J179">
        <v>0</v>
      </c>
      <c r="K179">
        <v>937</v>
      </c>
      <c r="L179">
        <v>601</v>
      </c>
      <c r="M179">
        <v>336</v>
      </c>
      <c r="N179">
        <v>336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336</v>
      </c>
      <c r="Z179">
        <v>0</v>
      </c>
      <c r="AA179">
        <v>0</v>
      </c>
      <c r="AB179">
        <v>336</v>
      </c>
      <c r="AC179">
        <v>13</v>
      </c>
      <c r="AD179">
        <v>323</v>
      </c>
      <c r="AE179">
        <v>8</v>
      </c>
      <c r="AF179">
        <v>4</v>
      </c>
      <c r="AG179">
        <v>1</v>
      </c>
      <c r="AH179">
        <v>1</v>
      </c>
      <c r="AI179">
        <v>0</v>
      </c>
      <c r="AJ179">
        <v>0</v>
      </c>
      <c r="AK179">
        <v>1</v>
      </c>
      <c r="AL179">
        <v>0</v>
      </c>
      <c r="AM179">
        <v>0</v>
      </c>
      <c r="AN179">
        <v>1</v>
      </c>
      <c r="AO179">
        <v>0</v>
      </c>
      <c r="AP179">
        <v>8</v>
      </c>
      <c r="AQ179">
        <v>12</v>
      </c>
      <c r="AR179">
        <v>10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2</v>
      </c>
      <c r="BB179">
        <v>12</v>
      </c>
      <c r="BC179">
        <v>25</v>
      </c>
      <c r="BD179">
        <v>5</v>
      </c>
      <c r="BE179">
        <v>2</v>
      </c>
      <c r="BF179">
        <v>2</v>
      </c>
      <c r="BG179">
        <v>1</v>
      </c>
      <c r="BH179">
        <v>8</v>
      </c>
      <c r="BI179">
        <v>2</v>
      </c>
      <c r="BJ179">
        <v>0</v>
      </c>
      <c r="BK179">
        <v>1</v>
      </c>
      <c r="BL179">
        <v>0</v>
      </c>
      <c r="BM179">
        <v>4</v>
      </c>
      <c r="BN179">
        <v>25</v>
      </c>
      <c r="BO179">
        <v>181</v>
      </c>
      <c r="BP179">
        <v>160</v>
      </c>
      <c r="BQ179">
        <v>10</v>
      </c>
      <c r="BR179">
        <v>2</v>
      </c>
      <c r="BS179">
        <v>1</v>
      </c>
      <c r="BT179">
        <v>0</v>
      </c>
      <c r="BU179">
        <v>6</v>
      </c>
      <c r="BV179">
        <v>0</v>
      </c>
      <c r="BW179">
        <v>0</v>
      </c>
      <c r="BX179">
        <v>2</v>
      </c>
      <c r="BY179">
        <v>0</v>
      </c>
      <c r="BZ179">
        <v>181</v>
      </c>
      <c r="CA179">
        <v>2</v>
      </c>
      <c r="CB179">
        <v>1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2</v>
      </c>
      <c r="CM179">
        <v>3</v>
      </c>
      <c r="CN179">
        <v>2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3</v>
      </c>
      <c r="CY179">
        <v>10</v>
      </c>
      <c r="CZ179">
        <v>6</v>
      </c>
      <c r="DA179">
        <v>0</v>
      </c>
      <c r="DB179">
        <v>0</v>
      </c>
      <c r="DC179">
        <v>1</v>
      </c>
      <c r="DD179">
        <v>0</v>
      </c>
      <c r="DE179">
        <v>0</v>
      </c>
      <c r="DF179">
        <v>2</v>
      </c>
      <c r="DG179">
        <v>0</v>
      </c>
      <c r="DH179">
        <v>1</v>
      </c>
      <c r="DI179">
        <v>0</v>
      </c>
      <c r="DJ179">
        <v>10</v>
      </c>
      <c r="DK179">
        <v>60</v>
      </c>
      <c r="DL179">
        <v>38</v>
      </c>
      <c r="DM179">
        <v>13</v>
      </c>
      <c r="DN179">
        <v>2</v>
      </c>
      <c r="DO179">
        <v>1</v>
      </c>
      <c r="DP179">
        <v>0</v>
      </c>
      <c r="DQ179">
        <v>1</v>
      </c>
      <c r="DR179">
        <v>2</v>
      </c>
      <c r="DS179">
        <v>0</v>
      </c>
      <c r="DT179">
        <v>0</v>
      </c>
      <c r="DU179">
        <v>3</v>
      </c>
      <c r="DV179">
        <v>60</v>
      </c>
      <c r="DW179">
        <v>18</v>
      </c>
      <c r="DX179">
        <v>0</v>
      </c>
      <c r="DY179">
        <v>3</v>
      </c>
      <c r="DZ179">
        <v>0</v>
      </c>
      <c r="EA179">
        <v>0</v>
      </c>
      <c r="EB179">
        <v>14</v>
      </c>
      <c r="EC179">
        <v>0</v>
      </c>
      <c r="ED179">
        <v>0</v>
      </c>
      <c r="EE179">
        <v>1</v>
      </c>
      <c r="EF179">
        <v>0</v>
      </c>
      <c r="EG179">
        <v>0</v>
      </c>
      <c r="EH179">
        <v>18</v>
      </c>
      <c r="EI179">
        <v>1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1</v>
      </c>
      <c r="EP179">
        <v>0</v>
      </c>
      <c r="EQ179">
        <v>0</v>
      </c>
      <c r="ER179">
        <v>1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3</v>
      </c>
      <c r="FF179">
        <v>0</v>
      </c>
      <c r="FG179">
        <v>0</v>
      </c>
      <c r="FH179">
        <v>0</v>
      </c>
      <c r="FI179">
        <v>0</v>
      </c>
      <c r="FJ179">
        <v>1</v>
      </c>
      <c r="FK179">
        <v>0</v>
      </c>
      <c r="FL179">
        <v>1</v>
      </c>
      <c r="FM179">
        <v>1</v>
      </c>
      <c r="FN179">
        <v>0</v>
      </c>
      <c r="FO179">
        <v>0</v>
      </c>
      <c r="FP179">
        <v>3</v>
      </c>
    </row>
    <row r="180" spans="1:172" ht="14.25">
      <c r="A180">
        <v>175</v>
      </c>
      <c r="B180" t="str">
        <f t="shared" si="30"/>
        <v>101006</v>
      </c>
      <c r="C180" t="str">
        <f t="shared" si="31"/>
        <v>Moszczenica</v>
      </c>
      <c r="D180" t="str">
        <f t="shared" si="27"/>
        <v>piotrkowski</v>
      </c>
      <c r="E180" t="str">
        <f t="shared" si="23"/>
        <v>łódzkie</v>
      </c>
      <c r="F180">
        <v>3</v>
      </c>
      <c r="G180" t="str">
        <f>"Gimnazjum, ul. Piotrkowska 13, 97-310 Moszczenica"</f>
        <v>Gimnazjum, ul. Piotrkowska 13, 97-310 Moszczenica</v>
      </c>
      <c r="H180">
        <v>1324</v>
      </c>
      <c r="I180">
        <v>1324</v>
      </c>
      <c r="J180">
        <v>0</v>
      </c>
      <c r="K180">
        <v>929</v>
      </c>
      <c r="L180">
        <v>609</v>
      </c>
      <c r="M180">
        <v>320</v>
      </c>
      <c r="N180">
        <v>320</v>
      </c>
      <c r="O180">
        <v>0</v>
      </c>
      <c r="P180">
        <v>0</v>
      </c>
      <c r="Q180">
        <v>2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320</v>
      </c>
      <c r="Z180">
        <v>0</v>
      </c>
      <c r="AA180">
        <v>0</v>
      </c>
      <c r="AB180">
        <v>320</v>
      </c>
      <c r="AC180">
        <v>10</v>
      </c>
      <c r="AD180">
        <v>310</v>
      </c>
      <c r="AE180">
        <v>13</v>
      </c>
      <c r="AF180">
        <v>2</v>
      </c>
      <c r="AG180">
        <v>0</v>
      </c>
      <c r="AH180">
        <v>1</v>
      </c>
      <c r="AI180">
        <v>1</v>
      </c>
      <c r="AJ180">
        <v>2</v>
      </c>
      <c r="AK180">
        <v>1</v>
      </c>
      <c r="AL180">
        <v>0</v>
      </c>
      <c r="AM180">
        <v>2</v>
      </c>
      <c r="AN180">
        <v>1</v>
      </c>
      <c r="AO180">
        <v>3</v>
      </c>
      <c r="AP180">
        <v>13</v>
      </c>
      <c r="AQ180">
        <v>15</v>
      </c>
      <c r="AR180">
        <v>15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15</v>
      </c>
      <c r="BC180">
        <v>17</v>
      </c>
      <c r="BD180">
        <v>5</v>
      </c>
      <c r="BE180">
        <v>1</v>
      </c>
      <c r="BF180">
        <v>1</v>
      </c>
      <c r="BG180">
        <v>0</v>
      </c>
      <c r="BH180">
        <v>6</v>
      </c>
      <c r="BI180">
        <v>1</v>
      </c>
      <c r="BJ180">
        <v>0</v>
      </c>
      <c r="BK180">
        <v>0</v>
      </c>
      <c r="BL180">
        <v>1</v>
      </c>
      <c r="BM180">
        <v>2</v>
      </c>
      <c r="BN180">
        <v>17</v>
      </c>
      <c r="BO180">
        <v>168</v>
      </c>
      <c r="BP180">
        <v>150</v>
      </c>
      <c r="BQ180">
        <v>6</v>
      </c>
      <c r="BR180">
        <v>2</v>
      </c>
      <c r="BS180">
        <v>2</v>
      </c>
      <c r="BT180">
        <v>1</v>
      </c>
      <c r="BU180">
        <v>1</v>
      </c>
      <c r="BV180">
        <v>1</v>
      </c>
      <c r="BW180">
        <v>2</v>
      </c>
      <c r="BX180">
        <v>2</v>
      </c>
      <c r="BY180">
        <v>1</v>
      </c>
      <c r="BZ180">
        <v>168</v>
      </c>
      <c r="CA180">
        <v>2</v>
      </c>
      <c r="CB180">
        <v>2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2</v>
      </c>
      <c r="CM180">
        <v>7</v>
      </c>
      <c r="CN180">
        <v>3</v>
      </c>
      <c r="CO180">
        <v>1</v>
      </c>
      <c r="CP180">
        <v>0</v>
      </c>
      <c r="CQ180">
        <v>0</v>
      </c>
      <c r="CR180">
        <v>1</v>
      </c>
      <c r="CS180">
        <v>0</v>
      </c>
      <c r="CT180">
        <v>0</v>
      </c>
      <c r="CU180">
        <v>0</v>
      </c>
      <c r="CV180">
        <v>0</v>
      </c>
      <c r="CW180">
        <v>2</v>
      </c>
      <c r="CX180">
        <v>7</v>
      </c>
      <c r="CY180">
        <v>25</v>
      </c>
      <c r="CZ180">
        <v>17</v>
      </c>
      <c r="DA180">
        <v>2</v>
      </c>
      <c r="DB180">
        <v>1</v>
      </c>
      <c r="DC180">
        <v>0</v>
      </c>
      <c r="DD180">
        <v>1</v>
      </c>
      <c r="DE180">
        <v>1</v>
      </c>
      <c r="DF180">
        <v>1</v>
      </c>
      <c r="DG180">
        <v>1</v>
      </c>
      <c r="DH180">
        <v>1</v>
      </c>
      <c r="DI180">
        <v>0</v>
      </c>
      <c r="DJ180">
        <v>25</v>
      </c>
      <c r="DK180">
        <v>39</v>
      </c>
      <c r="DL180">
        <v>28</v>
      </c>
      <c r="DM180">
        <v>6</v>
      </c>
      <c r="DN180">
        <v>0</v>
      </c>
      <c r="DO180">
        <v>0</v>
      </c>
      <c r="DP180">
        <v>1</v>
      </c>
      <c r="DQ180">
        <v>0</v>
      </c>
      <c r="DR180">
        <v>0</v>
      </c>
      <c r="DS180">
        <v>3</v>
      </c>
      <c r="DT180">
        <v>0</v>
      </c>
      <c r="DU180">
        <v>1</v>
      </c>
      <c r="DV180">
        <v>39</v>
      </c>
      <c r="DW180">
        <v>20</v>
      </c>
      <c r="DX180">
        <v>0</v>
      </c>
      <c r="DY180">
        <v>4</v>
      </c>
      <c r="DZ180">
        <v>0</v>
      </c>
      <c r="EA180">
        <v>0</v>
      </c>
      <c r="EB180">
        <v>10</v>
      </c>
      <c r="EC180">
        <v>6</v>
      </c>
      <c r="ED180">
        <v>0</v>
      </c>
      <c r="EE180">
        <v>0</v>
      </c>
      <c r="EF180">
        <v>0</v>
      </c>
      <c r="EG180">
        <v>0</v>
      </c>
      <c r="EH180">
        <v>20</v>
      </c>
      <c r="EI180">
        <v>1</v>
      </c>
      <c r="EJ180">
        <v>0</v>
      </c>
      <c r="EK180">
        <v>0</v>
      </c>
      <c r="EL180">
        <v>0</v>
      </c>
      <c r="EM180">
        <v>0</v>
      </c>
      <c r="EN180">
        <v>1</v>
      </c>
      <c r="EO180">
        <v>0</v>
      </c>
      <c r="EP180">
        <v>0</v>
      </c>
      <c r="EQ180">
        <v>0</v>
      </c>
      <c r="ER180">
        <v>1</v>
      </c>
      <c r="ES180">
        <v>2</v>
      </c>
      <c r="ET180">
        <v>1</v>
      </c>
      <c r="EU180">
        <v>0</v>
      </c>
      <c r="EV180">
        <v>0</v>
      </c>
      <c r="EW180">
        <v>0</v>
      </c>
      <c r="EX180">
        <v>0</v>
      </c>
      <c r="EY180">
        <v>1</v>
      </c>
      <c r="EZ180">
        <v>0</v>
      </c>
      <c r="FA180">
        <v>0</v>
      </c>
      <c r="FB180">
        <v>0</v>
      </c>
      <c r="FC180">
        <v>0</v>
      </c>
      <c r="FD180">
        <v>2</v>
      </c>
      <c r="FE180">
        <v>1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1</v>
      </c>
    </row>
    <row r="181" spans="1:172" ht="14.25">
      <c r="A181">
        <v>176</v>
      </c>
      <c r="B181" t="str">
        <f t="shared" si="30"/>
        <v>101006</v>
      </c>
      <c r="C181" t="str">
        <f t="shared" si="31"/>
        <v>Moszczenica</v>
      </c>
      <c r="D181" t="str">
        <f t="shared" si="27"/>
        <v>piotrkowski</v>
      </c>
      <c r="E181" t="str">
        <f t="shared" si="23"/>
        <v>łódzkie</v>
      </c>
      <c r="F181">
        <v>4</v>
      </c>
      <c r="G181" t="str">
        <f>"Gimnazjum, ul. Piotrkowska 13, 97-310 Moszczenica"</f>
        <v>Gimnazjum, ul. Piotrkowska 13, 97-310 Moszczenica</v>
      </c>
      <c r="H181">
        <v>803</v>
      </c>
      <c r="I181">
        <v>803</v>
      </c>
      <c r="J181">
        <v>0</v>
      </c>
      <c r="K181">
        <v>560</v>
      </c>
      <c r="L181">
        <v>373</v>
      </c>
      <c r="M181">
        <v>187</v>
      </c>
      <c r="N181">
        <v>187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187</v>
      </c>
      <c r="Z181">
        <v>0</v>
      </c>
      <c r="AA181">
        <v>0</v>
      </c>
      <c r="AB181">
        <v>187</v>
      </c>
      <c r="AC181">
        <v>7</v>
      </c>
      <c r="AD181">
        <v>180</v>
      </c>
      <c r="AE181">
        <v>2</v>
      </c>
      <c r="AF181">
        <v>1</v>
      </c>
      <c r="AG181">
        <v>1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2</v>
      </c>
      <c r="AQ181">
        <v>4</v>
      </c>
      <c r="AR181">
        <v>4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4</v>
      </c>
      <c r="BC181">
        <v>14</v>
      </c>
      <c r="BD181">
        <v>8</v>
      </c>
      <c r="BE181">
        <v>0</v>
      </c>
      <c r="BF181">
        <v>0</v>
      </c>
      <c r="BG181">
        <v>0</v>
      </c>
      <c r="BH181">
        <v>3</v>
      </c>
      <c r="BI181">
        <v>1</v>
      </c>
      <c r="BJ181">
        <v>0</v>
      </c>
      <c r="BK181">
        <v>0</v>
      </c>
      <c r="BL181">
        <v>0</v>
      </c>
      <c r="BM181">
        <v>2</v>
      </c>
      <c r="BN181">
        <v>14</v>
      </c>
      <c r="BO181">
        <v>100</v>
      </c>
      <c r="BP181">
        <v>90</v>
      </c>
      <c r="BQ181">
        <v>1</v>
      </c>
      <c r="BR181">
        <v>1</v>
      </c>
      <c r="BS181">
        <v>3</v>
      </c>
      <c r="BT181">
        <v>0</v>
      </c>
      <c r="BU181">
        <v>0</v>
      </c>
      <c r="BV181">
        <v>1</v>
      </c>
      <c r="BW181">
        <v>4</v>
      </c>
      <c r="BX181">
        <v>0</v>
      </c>
      <c r="BY181">
        <v>0</v>
      </c>
      <c r="BZ181">
        <v>100</v>
      </c>
      <c r="CA181">
        <v>1</v>
      </c>
      <c r="CB181">
        <v>1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1</v>
      </c>
      <c r="CM181">
        <v>3</v>
      </c>
      <c r="CN181">
        <v>0</v>
      </c>
      <c r="CO181">
        <v>1</v>
      </c>
      <c r="CP181">
        <v>2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3</v>
      </c>
      <c r="CY181">
        <v>11</v>
      </c>
      <c r="CZ181">
        <v>5</v>
      </c>
      <c r="DA181">
        <v>3</v>
      </c>
      <c r="DB181">
        <v>0</v>
      </c>
      <c r="DC181">
        <v>0</v>
      </c>
      <c r="DD181">
        <v>0</v>
      </c>
      <c r="DE181">
        <v>0</v>
      </c>
      <c r="DF181">
        <v>1</v>
      </c>
      <c r="DG181">
        <v>1</v>
      </c>
      <c r="DH181">
        <v>0</v>
      </c>
      <c r="DI181">
        <v>1</v>
      </c>
      <c r="DJ181">
        <v>11</v>
      </c>
      <c r="DK181">
        <v>25</v>
      </c>
      <c r="DL181">
        <v>16</v>
      </c>
      <c r="DM181">
        <v>9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25</v>
      </c>
      <c r="DW181">
        <v>17</v>
      </c>
      <c r="DX181">
        <v>1</v>
      </c>
      <c r="DY181">
        <v>0</v>
      </c>
      <c r="DZ181">
        <v>0</v>
      </c>
      <c r="EA181">
        <v>2</v>
      </c>
      <c r="EB181">
        <v>13</v>
      </c>
      <c r="EC181">
        <v>1</v>
      </c>
      <c r="ED181">
        <v>0</v>
      </c>
      <c r="EE181">
        <v>0</v>
      </c>
      <c r="EF181">
        <v>0</v>
      </c>
      <c r="EG181">
        <v>0</v>
      </c>
      <c r="EH181">
        <v>17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3</v>
      </c>
      <c r="FF181">
        <v>0</v>
      </c>
      <c r="FG181">
        <v>0</v>
      </c>
      <c r="FH181">
        <v>2</v>
      </c>
      <c r="FI181">
        <v>0</v>
      </c>
      <c r="FJ181">
        <v>0</v>
      </c>
      <c r="FK181">
        <v>0</v>
      </c>
      <c r="FL181">
        <v>0</v>
      </c>
      <c r="FM181">
        <v>1</v>
      </c>
      <c r="FN181">
        <v>0</v>
      </c>
      <c r="FO181">
        <v>0</v>
      </c>
      <c r="FP181">
        <v>3</v>
      </c>
    </row>
    <row r="182" spans="1:172" ht="14.25">
      <c r="A182">
        <v>177</v>
      </c>
      <c r="B182" t="str">
        <f t="shared" si="30"/>
        <v>101006</v>
      </c>
      <c r="C182" t="str">
        <f t="shared" si="31"/>
        <v>Moszczenica</v>
      </c>
      <c r="D182" t="str">
        <f t="shared" si="27"/>
        <v>piotrkowski</v>
      </c>
      <c r="E182" t="str">
        <f t="shared" si="23"/>
        <v>łódzkie</v>
      </c>
      <c r="F182">
        <v>5</v>
      </c>
      <c r="G182" t="str">
        <f>"Szkoła Podstawowa, ul. Piotrkowska 20, Baby, 97-310 Moszczenica"</f>
        <v>Szkoła Podstawowa, ul. Piotrkowska 20, Baby, 97-310 Moszczenica</v>
      </c>
      <c r="H182">
        <v>1366</v>
      </c>
      <c r="I182">
        <v>1366</v>
      </c>
      <c r="J182">
        <v>0</v>
      </c>
      <c r="K182">
        <v>964</v>
      </c>
      <c r="L182">
        <v>682</v>
      </c>
      <c r="M182">
        <v>282</v>
      </c>
      <c r="N182">
        <v>282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282</v>
      </c>
      <c r="Z182">
        <v>0</v>
      </c>
      <c r="AA182">
        <v>0</v>
      </c>
      <c r="AB182">
        <v>282</v>
      </c>
      <c r="AC182">
        <v>8</v>
      </c>
      <c r="AD182">
        <v>274</v>
      </c>
      <c r="AE182">
        <v>9</v>
      </c>
      <c r="AF182">
        <v>3</v>
      </c>
      <c r="AG182">
        <v>0</v>
      </c>
      <c r="AH182">
        <v>0</v>
      </c>
      <c r="AI182">
        <v>1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5</v>
      </c>
      <c r="AP182">
        <v>9</v>
      </c>
      <c r="AQ182">
        <v>10</v>
      </c>
      <c r="AR182">
        <v>6</v>
      </c>
      <c r="AS182">
        <v>0</v>
      </c>
      <c r="AT182">
        <v>0</v>
      </c>
      <c r="AU182">
        <v>1</v>
      </c>
      <c r="AV182">
        <v>1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10</v>
      </c>
      <c r="BC182">
        <v>13</v>
      </c>
      <c r="BD182">
        <v>3</v>
      </c>
      <c r="BE182">
        <v>1</v>
      </c>
      <c r="BF182">
        <v>0</v>
      </c>
      <c r="BG182">
        <v>1</v>
      </c>
      <c r="BH182">
        <v>7</v>
      </c>
      <c r="BI182">
        <v>0</v>
      </c>
      <c r="BJ182">
        <v>0</v>
      </c>
      <c r="BK182">
        <v>0</v>
      </c>
      <c r="BL182">
        <v>0</v>
      </c>
      <c r="BM182">
        <v>1</v>
      </c>
      <c r="BN182">
        <v>13</v>
      </c>
      <c r="BO182">
        <v>130</v>
      </c>
      <c r="BP182">
        <v>104</v>
      </c>
      <c r="BQ182">
        <v>7</v>
      </c>
      <c r="BR182">
        <v>3</v>
      </c>
      <c r="BS182">
        <v>1</v>
      </c>
      <c r="BT182">
        <v>1</v>
      </c>
      <c r="BU182">
        <v>7</v>
      </c>
      <c r="BV182">
        <v>2</v>
      </c>
      <c r="BW182">
        <v>0</v>
      </c>
      <c r="BX182">
        <v>3</v>
      </c>
      <c r="BY182">
        <v>2</v>
      </c>
      <c r="BZ182">
        <v>130</v>
      </c>
      <c r="CA182">
        <v>2</v>
      </c>
      <c r="CB182">
        <v>0</v>
      </c>
      <c r="CC182">
        <v>0</v>
      </c>
      <c r="CD182">
        <v>1</v>
      </c>
      <c r="CE182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2</v>
      </c>
      <c r="CM182">
        <v>4</v>
      </c>
      <c r="CN182">
        <v>1</v>
      </c>
      <c r="CO182">
        <v>0</v>
      </c>
      <c r="CP182">
        <v>2</v>
      </c>
      <c r="CQ182">
        <v>0</v>
      </c>
      <c r="CR182">
        <v>0</v>
      </c>
      <c r="CS182">
        <v>0</v>
      </c>
      <c r="CT182">
        <v>0</v>
      </c>
      <c r="CU182">
        <v>1</v>
      </c>
      <c r="CV182">
        <v>0</v>
      </c>
      <c r="CW182">
        <v>0</v>
      </c>
      <c r="CX182">
        <v>4</v>
      </c>
      <c r="CY182">
        <v>29</v>
      </c>
      <c r="CZ182">
        <v>17</v>
      </c>
      <c r="DA182">
        <v>5</v>
      </c>
      <c r="DB182">
        <v>1</v>
      </c>
      <c r="DC182">
        <v>1</v>
      </c>
      <c r="DD182">
        <v>1</v>
      </c>
      <c r="DE182">
        <v>0</v>
      </c>
      <c r="DF182">
        <v>0</v>
      </c>
      <c r="DG182">
        <v>3</v>
      </c>
      <c r="DH182">
        <v>0</v>
      </c>
      <c r="DI182">
        <v>1</v>
      </c>
      <c r="DJ182">
        <v>29</v>
      </c>
      <c r="DK182">
        <v>35</v>
      </c>
      <c r="DL182">
        <v>29</v>
      </c>
      <c r="DM182">
        <v>5</v>
      </c>
      <c r="DN182">
        <v>0</v>
      </c>
      <c r="DO182">
        <v>1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35</v>
      </c>
      <c r="DW182">
        <v>42</v>
      </c>
      <c r="DX182">
        <v>1</v>
      </c>
      <c r="DY182">
        <v>2</v>
      </c>
      <c r="DZ182">
        <v>0</v>
      </c>
      <c r="EA182">
        <v>1</v>
      </c>
      <c r="EB182">
        <v>13</v>
      </c>
      <c r="EC182">
        <v>0</v>
      </c>
      <c r="ED182">
        <v>0</v>
      </c>
      <c r="EE182">
        <v>25</v>
      </c>
      <c r="EF182">
        <v>0</v>
      </c>
      <c r="EG182">
        <v>0</v>
      </c>
      <c r="EH182">
        <v>42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</row>
    <row r="183" spans="1:172" ht="14.25">
      <c r="A183">
        <v>178</v>
      </c>
      <c r="B183" t="str">
        <f t="shared" si="30"/>
        <v>101006</v>
      </c>
      <c r="C183" t="str">
        <f t="shared" si="31"/>
        <v>Moszczenica</v>
      </c>
      <c r="D183" t="str">
        <f aca="true" t="shared" si="32" ref="D183:D214">"piotrkowski"</f>
        <v>piotrkowski</v>
      </c>
      <c r="E183" t="str">
        <f t="shared" si="23"/>
        <v>łódzkie</v>
      </c>
      <c r="F183">
        <v>6</v>
      </c>
      <c r="G183" t="str">
        <f>"Zespół Szkół, ul. Łódzka 5, Srock, 97-310 Moszczenica"</f>
        <v>Zespół Szkół, ul. Łódzka 5, Srock, 97-310 Moszczenica</v>
      </c>
      <c r="H183">
        <v>1301</v>
      </c>
      <c r="I183">
        <v>1301</v>
      </c>
      <c r="J183">
        <v>0</v>
      </c>
      <c r="K183">
        <v>906</v>
      </c>
      <c r="L183">
        <v>636</v>
      </c>
      <c r="M183">
        <v>270</v>
      </c>
      <c r="N183">
        <v>270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270</v>
      </c>
      <c r="Z183">
        <v>0</v>
      </c>
      <c r="AA183">
        <v>0</v>
      </c>
      <c r="AB183">
        <v>270</v>
      </c>
      <c r="AC183">
        <v>12</v>
      </c>
      <c r="AD183">
        <v>258</v>
      </c>
      <c r="AE183">
        <v>14</v>
      </c>
      <c r="AF183">
        <v>10</v>
      </c>
      <c r="AG183">
        <v>1</v>
      </c>
      <c r="AH183">
        <v>0</v>
      </c>
      <c r="AI183">
        <v>1</v>
      </c>
      <c r="AJ183">
        <v>0</v>
      </c>
      <c r="AK183">
        <v>1</v>
      </c>
      <c r="AL183">
        <v>0</v>
      </c>
      <c r="AM183">
        <v>0</v>
      </c>
      <c r="AN183">
        <v>0</v>
      </c>
      <c r="AO183">
        <v>1</v>
      </c>
      <c r="AP183">
        <v>14</v>
      </c>
      <c r="AQ183">
        <v>9</v>
      </c>
      <c r="AR183">
        <v>6</v>
      </c>
      <c r="AS183">
        <v>0</v>
      </c>
      <c r="AT183">
        <v>0</v>
      </c>
      <c r="AU183">
        <v>1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2</v>
      </c>
      <c r="BB183">
        <v>9</v>
      </c>
      <c r="BC183">
        <v>6</v>
      </c>
      <c r="BD183">
        <v>2</v>
      </c>
      <c r="BE183">
        <v>0</v>
      </c>
      <c r="BF183">
        <v>0</v>
      </c>
      <c r="BG183">
        <v>0</v>
      </c>
      <c r="BH183">
        <v>1</v>
      </c>
      <c r="BI183">
        <v>3</v>
      </c>
      <c r="BJ183">
        <v>0</v>
      </c>
      <c r="BK183">
        <v>0</v>
      </c>
      <c r="BL183">
        <v>0</v>
      </c>
      <c r="BM183">
        <v>0</v>
      </c>
      <c r="BN183">
        <v>6</v>
      </c>
      <c r="BO183">
        <v>161</v>
      </c>
      <c r="BP183">
        <v>139</v>
      </c>
      <c r="BQ183">
        <v>4</v>
      </c>
      <c r="BR183">
        <v>3</v>
      </c>
      <c r="BS183">
        <v>1</v>
      </c>
      <c r="BT183">
        <v>1</v>
      </c>
      <c r="BU183">
        <v>9</v>
      </c>
      <c r="BV183">
        <v>0</v>
      </c>
      <c r="BW183">
        <v>0</v>
      </c>
      <c r="BX183">
        <v>4</v>
      </c>
      <c r="BY183">
        <v>0</v>
      </c>
      <c r="BZ183">
        <v>161</v>
      </c>
      <c r="CA183">
        <v>3</v>
      </c>
      <c r="CB183">
        <v>2</v>
      </c>
      <c r="CC183">
        <v>1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3</v>
      </c>
      <c r="CM183">
        <v>4</v>
      </c>
      <c r="CN183">
        <v>3</v>
      </c>
      <c r="CO183">
        <v>0</v>
      </c>
      <c r="CP183">
        <v>0</v>
      </c>
      <c r="CQ183">
        <v>0</v>
      </c>
      <c r="CR183">
        <v>0</v>
      </c>
      <c r="CS183">
        <v>1</v>
      </c>
      <c r="CT183">
        <v>0</v>
      </c>
      <c r="CU183">
        <v>0</v>
      </c>
      <c r="CV183">
        <v>0</v>
      </c>
      <c r="CW183">
        <v>0</v>
      </c>
      <c r="CX183">
        <v>4</v>
      </c>
      <c r="CY183">
        <v>11</v>
      </c>
      <c r="CZ183">
        <v>9</v>
      </c>
      <c r="DA183">
        <v>1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1</v>
      </c>
      <c r="DI183">
        <v>0</v>
      </c>
      <c r="DJ183">
        <v>11</v>
      </c>
      <c r="DK183">
        <v>12</v>
      </c>
      <c r="DL183">
        <v>8</v>
      </c>
      <c r="DM183">
        <v>4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12</v>
      </c>
      <c r="DW183">
        <v>35</v>
      </c>
      <c r="DX183">
        <v>3</v>
      </c>
      <c r="DY183">
        <v>7</v>
      </c>
      <c r="DZ183">
        <v>0</v>
      </c>
      <c r="EA183">
        <v>0</v>
      </c>
      <c r="EB183">
        <v>13</v>
      </c>
      <c r="EC183">
        <v>1</v>
      </c>
      <c r="ED183">
        <v>1</v>
      </c>
      <c r="EE183">
        <v>10</v>
      </c>
      <c r="EF183">
        <v>0</v>
      </c>
      <c r="EG183">
        <v>0</v>
      </c>
      <c r="EH183">
        <v>35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2</v>
      </c>
      <c r="ET183">
        <v>1</v>
      </c>
      <c r="EU183">
        <v>1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2</v>
      </c>
      <c r="FE183">
        <v>1</v>
      </c>
      <c r="FF183">
        <v>0</v>
      </c>
      <c r="FG183">
        <v>1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1</v>
      </c>
    </row>
    <row r="184" spans="1:172" ht="14.25">
      <c r="A184">
        <v>179</v>
      </c>
      <c r="B184" t="str">
        <f t="shared" si="30"/>
        <v>101006</v>
      </c>
      <c r="C184" t="str">
        <f t="shared" si="31"/>
        <v>Moszczenica</v>
      </c>
      <c r="D184" t="str">
        <f t="shared" si="32"/>
        <v>piotrkowski</v>
      </c>
      <c r="E184" t="str">
        <f t="shared" si="23"/>
        <v>łódzkie</v>
      </c>
      <c r="F184">
        <v>7</v>
      </c>
      <c r="G184" t="str">
        <f>"Gminny Ośrodek Pomocy Społecznej, ul. Główna 23, Kosów, 97-310 Moszczenica"</f>
        <v>Gminny Ośrodek Pomocy Społecznej, ul. Główna 23, Kosów, 97-310 Moszczenica</v>
      </c>
      <c r="H184">
        <v>1329</v>
      </c>
      <c r="I184">
        <v>1329</v>
      </c>
      <c r="J184">
        <v>0</v>
      </c>
      <c r="K184">
        <v>930</v>
      </c>
      <c r="L184">
        <v>636</v>
      </c>
      <c r="M184">
        <v>294</v>
      </c>
      <c r="N184">
        <v>294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294</v>
      </c>
      <c r="Z184">
        <v>0</v>
      </c>
      <c r="AA184">
        <v>0</v>
      </c>
      <c r="AB184">
        <v>294</v>
      </c>
      <c r="AC184">
        <v>8</v>
      </c>
      <c r="AD184">
        <v>286</v>
      </c>
      <c r="AE184">
        <v>7</v>
      </c>
      <c r="AF184">
        <v>4</v>
      </c>
      <c r="AG184">
        <v>2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7</v>
      </c>
      <c r="AQ184">
        <v>4</v>
      </c>
      <c r="AR184">
        <v>4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4</v>
      </c>
      <c r="BC184">
        <v>15</v>
      </c>
      <c r="BD184">
        <v>1</v>
      </c>
      <c r="BE184">
        <v>0</v>
      </c>
      <c r="BF184">
        <v>0</v>
      </c>
      <c r="BG184">
        <v>0</v>
      </c>
      <c r="BH184">
        <v>14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15</v>
      </c>
      <c r="BO184">
        <v>180</v>
      </c>
      <c r="BP184">
        <v>142</v>
      </c>
      <c r="BQ184">
        <v>4</v>
      </c>
      <c r="BR184">
        <v>8</v>
      </c>
      <c r="BS184">
        <v>3</v>
      </c>
      <c r="BT184">
        <v>2</v>
      </c>
      <c r="BU184">
        <v>9</v>
      </c>
      <c r="BV184">
        <v>1</v>
      </c>
      <c r="BW184">
        <v>0</v>
      </c>
      <c r="BX184">
        <v>10</v>
      </c>
      <c r="BY184">
        <v>1</v>
      </c>
      <c r="BZ184">
        <v>180</v>
      </c>
      <c r="CA184">
        <v>3</v>
      </c>
      <c r="CB184">
        <v>0</v>
      </c>
      <c r="CC184">
        <v>1</v>
      </c>
      <c r="CD184">
        <v>0</v>
      </c>
      <c r="CE184">
        <v>1</v>
      </c>
      <c r="CF184">
        <v>0</v>
      </c>
      <c r="CG184">
        <v>0</v>
      </c>
      <c r="CH184">
        <v>0</v>
      </c>
      <c r="CI184">
        <v>0</v>
      </c>
      <c r="CJ184">
        <v>1</v>
      </c>
      <c r="CK184">
        <v>0</v>
      </c>
      <c r="CL184">
        <v>3</v>
      </c>
      <c r="CM184">
        <v>7</v>
      </c>
      <c r="CN184">
        <v>4</v>
      </c>
      <c r="CO184">
        <v>0</v>
      </c>
      <c r="CP184">
        <v>0</v>
      </c>
      <c r="CQ184">
        <v>1</v>
      </c>
      <c r="CR184">
        <v>1</v>
      </c>
      <c r="CS184">
        <v>1</v>
      </c>
      <c r="CT184">
        <v>0</v>
      </c>
      <c r="CU184">
        <v>0</v>
      </c>
      <c r="CV184">
        <v>0</v>
      </c>
      <c r="CW184">
        <v>0</v>
      </c>
      <c r="CX184">
        <v>7</v>
      </c>
      <c r="CY184">
        <v>5</v>
      </c>
      <c r="CZ184">
        <v>2</v>
      </c>
      <c r="DA184">
        <v>1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1</v>
      </c>
      <c r="DI184">
        <v>1</v>
      </c>
      <c r="DJ184">
        <v>5</v>
      </c>
      <c r="DK184">
        <v>22</v>
      </c>
      <c r="DL184">
        <v>14</v>
      </c>
      <c r="DM184">
        <v>5</v>
      </c>
      <c r="DN184">
        <v>0</v>
      </c>
      <c r="DO184">
        <v>0</v>
      </c>
      <c r="DP184">
        <v>1</v>
      </c>
      <c r="DQ184">
        <v>1</v>
      </c>
      <c r="DR184">
        <v>0</v>
      </c>
      <c r="DS184">
        <v>1</v>
      </c>
      <c r="DT184">
        <v>0</v>
      </c>
      <c r="DU184">
        <v>0</v>
      </c>
      <c r="DV184">
        <v>22</v>
      </c>
      <c r="DW184">
        <v>39</v>
      </c>
      <c r="DX184">
        <v>3</v>
      </c>
      <c r="DY184">
        <v>10</v>
      </c>
      <c r="DZ184">
        <v>1</v>
      </c>
      <c r="EA184">
        <v>0</v>
      </c>
      <c r="EB184">
        <v>2</v>
      </c>
      <c r="EC184">
        <v>23</v>
      </c>
      <c r="ED184">
        <v>0</v>
      </c>
      <c r="EE184">
        <v>0</v>
      </c>
      <c r="EF184">
        <v>0</v>
      </c>
      <c r="EG184">
        <v>0</v>
      </c>
      <c r="EH184">
        <v>39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2</v>
      </c>
      <c r="ET184">
        <v>1</v>
      </c>
      <c r="EU184">
        <v>1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2</v>
      </c>
      <c r="FE184">
        <v>2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1</v>
      </c>
      <c r="FO184">
        <v>1</v>
      </c>
      <c r="FP184">
        <v>2</v>
      </c>
    </row>
    <row r="185" spans="1:172" ht="14.25">
      <c r="A185">
        <v>180</v>
      </c>
      <c r="B185" t="str">
        <f t="shared" si="30"/>
        <v>101006</v>
      </c>
      <c r="C185" t="str">
        <f t="shared" si="31"/>
        <v>Moszczenica</v>
      </c>
      <c r="D185" t="str">
        <f t="shared" si="32"/>
        <v>piotrkowski</v>
      </c>
      <c r="E185" t="str">
        <f t="shared" si="23"/>
        <v>łódzkie</v>
      </c>
      <c r="F185">
        <v>8</v>
      </c>
      <c r="G185" t="str">
        <f>"Szkoła Podstawowa, ul. Leśna 14, Jarosty, 97-310 Moszczenica"</f>
        <v>Szkoła Podstawowa, ul. Leśna 14, Jarosty, 97-310 Moszczenica</v>
      </c>
      <c r="H185">
        <v>1222</v>
      </c>
      <c r="I185">
        <v>1222</v>
      </c>
      <c r="J185">
        <v>0</v>
      </c>
      <c r="K185">
        <v>860</v>
      </c>
      <c r="L185">
        <v>630</v>
      </c>
      <c r="M185">
        <v>230</v>
      </c>
      <c r="N185">
        <v>230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230</v>
      </c>
      <c r="Z185">
        <v>0</v>
      </c>
      <c r="AA185">
        <v>0</v>
      </c>
      <c r="AB185">
        <v>230</v>
      </c>
      <c r="AC185">
        <v>5</v>
      </c>
      <c r="AD185">
        <v>225</v>
      </c>
      <c r="AE185">
        <v>5</v>
      </c>
      <c r="AF185">
        <v>4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1</v>
      </c>
      <c r="AP185">
        <v>5</v>
      </c>
      <c r="AQ185">
        <v>2</v>
      </c>
      <c r="AR185">
        <v>2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2</v>
      </c>
      <c r="BC185">
        <v>10</v>
      </c>
      <c r="BD185">
        <v>3</v>
      </c>
      <c r="BE185">
        <v>0</v>
      </c>
      <c r="BF185">
        <v>0</v>
      </c>
      <c r="BG185">
        <v>1</v>
      </c>
      <c r="BH185">
        <v>2</v>
      </c>
      <c r="BI185">
        <v>0</v>
      </c>
      <c r="BJ185">
        <v>0</v>
      </c>
      <c r="BK185">
        <v>1</v>
      </c>
      <c r="BL185">
        <v>0</v>
      </c>
      <c r="BM185">
        <v>3</v>
      </c>
      <c r="BN185">
        <v>10</v>
      </c>
      <c r="BO185">
        <v>115</v>
      </c>
      <c r="BP185">
        <v>97</v>
      </c>
      <c r="BQ185">
        <v>8</v>
      </c>
      <c r="BR185">
        <v>3</v>
      </c>
      <c r="BS185">
        <v>1</v>
      </c>
      <c r="BT185">
        <v>0</v>
      </c>
      <c r="BU185">
        <v>3</v>
      </c>
      <c r="BV185">
        <v>1</v>
      </c>
      <c r="BW185">
        <v>0</v>
      </c>
      <c r="BX185">
        <v>2</v>
      </c>
      <c r="BY185">
        <v>0</v>
      </c>
      <c r="BZ185">
        <v>115</v>
      </c>
      <c r="CA185">
        <v>7</v>
      </c>
      <c r="CB185">
        <v>6</v>
      </c>
      <c r="CC185">
        <v>0</v>
      </c>
      <c r="CD185">
        <v>1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7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11</v>
      </c>
      <c r="CZ185">
        <v>6</v>
      </c>
      <c r="DA185">
        <v>0</v>
      </c>
      <c r="DB185">
        <v>0</v>
      </c>
      <c r="DC185">
        <v>1</v>
      </c>
      <c r="DD185">
        <v>0</v>
      </c>
      <c r="DE185">
        <v>0</v>
      </c>
      <c r="DF185">
        <v>1</v>
      </c>
      <c r="DG185">
        <v>1</v>
      </c>
      <c r="DH185">
        <v>2</v>
      </c>
      <c r="DI185">
        <v>0</v>
      </c>
      <c r="DJ185">
        <v>11</v>
      </c>
      <c r="DK185">
        <v>37</v>
      </c>
      <c r="DL185">
        <v>26</v>
      </c>
      <c r="DM185">
        <v>8</v>
      </c>
      <c r="DN185">
        <v>2</v>
      </c>
      <c r="DO185">
        <v>0</v>
      </c>
      <c r="DP185">
        <v>1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37</v>
      </c>
      <c r="DW185">
        <v>38</v>
      </c>
      <c r="DX185">
        <v>5</v>
      </c>
      <c r="DY185">
        <v>5</v>
      </c>
      <c r="DZ185">
        <v>0</v>
      </c>
      <c r="EA185">
        <v>0</v>
      </c>
      <c r="EB185">
        <v>11</v>
      </c>
      <c r="EC185">
        <v>5</v>
      </c>
      <c r="ED185">
        <v>0</v>
      </c>
      <c r="EE185">
        <v>12</v>
      </c>
      <c r="EF185">
        <v>0</v>
      </c>
      <c r="EG185">
        <v>0</v>
      </c>
      <c r="EH185">
        <v>38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</row>
    <row r="186" spans="1:172" ht="14.25">
      <c r="A186">
        <v>181</v>
      </c>
      <c r="B186" t="str">
        <f t="shared" si="30"/>
        <v>101006</v>
      </c>
      <c r="C186" t="str">
        <f t="shared" si="31"/>
        <v>Moszczenica</v>
      </c>
      <c r="D186" t="str">
        <f t="shared" si="32"/>
        <v>piotrkowski</v>
      </c>
      <c r="E186" t="str">
        <f t="shared" si="23"/>
        <v>łódzkie</v>
      </c>
      <c r="F186">
        <v>9</v>
      </c>
      <c r="G186" t="str">
        <f>"HELP-MED Sp. z o.o. Zakład Opiekuńczo-Leczniczy i Rehabilitacyjny, Raciborowice 66, 97-310 Moszczenica"</f>
        <v>HELP-MED Sp. z o.o. Zakład Opiekuńczo-Leczniczy i Rehabilitacyjny, Raciborowice 66, 97-310 Moszczenica</v>
      </c>
      <c r="H186">
        <v>114</v>
      </c>
      <c r="I186">
        <v>114</v>
      </c>
      <c r="J186">
        <v>0</v>
      </c>
      <c r="K186">
        <v>100</v>
      </c>
      <c r="L186">
        <v>44</v>
      </c>
      <c r="M186">
        <v>56</v>
      </c>
      <c r="N186">
        <v>56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56</v>
      </c>
      <c r="Z186">
        <v>0</v>
      </c>
      <c r="AA186">
        <v>0</v>
      </c>
      <c r="AB186">
        <v>56</v>
      </c>
      <c r="AC186">
        <v>4</v>
      </c>
      <c r="AD186">
        <v>52</v>
      </c>
      <c r="AE186">
        <v>3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3</v>
      </c>
      <c r="AQ186">
        <v>1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6</v>
      </c>
      <c r="BD186">
        <v>1</v>
      </c>
      <c r="BE186">
        <v>0</v>
      </c>
      <c r="BF186">
        <v>2</v>
      </c>
      <c r="BG186">
        <v>1</v>
      </c>
      <c r="BH186">
        <v>0</v>
      </c>
      <c r="BI186">
        <v>0</v>
      </c>
      <c r="BJ186">
        <v>0</v>
      </c>
      <c r="BK186">
        <v>0</v>
      </c>
      <c r="BL186">
        <v>1</v>
      </c>
      <c r="BM186">
        <v>1</v>
      </c>
      <c r="BN186">
        <v>6</v>
      </c>
      <c r="BO186">
        <v>14</v>
      </c>
      <c r="BP186">
        <v>9</v>
      </c>
      <c r="BQ186">
        <v>3</v>
      </c>
      <c r="BR186">
        <v>1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1</v>
      </c>
      <c r="BZ186">
        <v>14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1</v>
      </c>
      <c r="CY186">
        <v>2</v>
      </c>
      <c r="CZ186">
        <v>1</v>
      </c>
      <c r="DA186">
        <v>1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2</v>
      </c>
      <c r="DK186">
        <v>9</v>
      </c>
      <c r="DL186">
        <v>3</v>
      </c>
      <c r="DM186">
        <v>0</v>
      </c>
      <c r="DN186">
        <v>1</v>
      </c>
      <c r="DO186">
        <v>0</v>
      </c>
      <c r="DP186">
        <v>1</v>
      </c>
      <c r="DQ186">
        <v>0</v>
      </c>
      <c r="DR186">
        <v>0</v>
      </c>
      <c r="DS186">
        <v>1</v>
      </c>
      <c r="DT186">
        <v>0</v>
      </c>
      <c r="DU186">
        <v>3</v>
      </c>
      <c r="DV186">
        <v>9</v>
      </c>
      <c r="DW186">
        <v>11</v>
      </c>
      <c r="DX186">
        <v>2</v>
      </c>
      <c r="DY186">
        <v>1</v>
      </c>
      <c r="DZ186">
        <v>0</v>
      </c>
      <c r="EA186">
        <v>0</v>
      </c>
      <c r="EB186">
        <v>1</v>
      </c>
      <c r="EC186">
        <v>0</v>
      </c>
      <c r="ED186">
        <v>0</v>
      </c>
      <c r="EE186">
        <v>7</v>
      </c>
      <c r="EF186">
        <v>0</v>
      </c>
      <c r="EG186">
        <v>0</v>
      </c>
      <c r="EH186">
        <v>11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2</v>
      </c>
      <c r="ET186">
        <v>1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1</v>
      </c>
      <c r="FD186">
        <v>2</v>
      </c>
      <c r="FE186">
        <v>3</v>
      </c>
      <c r="FF186">
        <v>0</v>
      </c>
      <c r="FG186">
        <v>0</v>
      </c>
      <c r="FH186">
        <v>1</v>
      </c>
      <c r="FI186">
        <v>0</v>
      </c>
      <c r="FJ186">
        <v>1</v>
      </c>
      <c r="FK186">
        <v>1</v>
      </c>
      <c r="FL186">
        <v>0</v>
      </c>
      <c r="FM186">
        <v>0</v>
      </c>
      <c r="FN186">
        <v>0</v>
      </c>
      <c r="FO186">
        <v>0</v>
      </c>
      <c r="FP186">
        <v>3</v>
      </c>
    </row>
    <row r="187" spans="1:172" ht="14.25">
      <c r="A187">
        <v>182</v>
      </c>
      <c r="B187" t="str">
        <f>"101007"</f>
        <v>101007</v>
      </c>
      <c r="C187" t="str">
        <f>"Ręczno"</f>
        <v>Ręczno</v>
      </c>
      <c r="D187" t="str">
        <f t="shared" si="32"/>
        <v>piotrkowski</v>
      </c>
      <c r="E187" t="str">
        <f t="shared" si="23"/>
        <v>łódzkie</v>
      </c>
      <c r="F187">
        <v>1</v>
      </c>
      <c r="G187" t="str">
        <f>"Budynek po byłej Szkole Podstawowej w Bąkowej Górze, Bąkowa Góra 43, 97-510 Ręczno"</f>
        <v>Budynek po byłej Szkole Podstawowej w Bąkowej Górze, Bąkowa Góra 43, 97-510 Ręczno</v>
      </c>
      <c r="H187">
        <v>684</v>
      </c>
      <c r="I187">
        <v>684</v>
      </c>
      <c r="J187">
        <v>0</v>
      </c>
      <c r="K187">
        <v>500</v>
      </c>
      <c r="L187">
        <v>349</v>
      </c>
      <c r="M187">
        <v>151</v>
      </c>
      <c r="N187">
        <v>151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151</v>
      </c>
      <c r="Z187">
        <v>0</v>
      </c>
      <c r="AA187">
        <v>0</v>
      </c>
      <c r="AB187">
        <v>151</v>
      </c>
      <c r="AC187">
        <v>9</v>
      </c>
      <c r="AD187">
        <v>142</v>
      </c>
      <c r="AE187">
        <v>2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2</v>
      </c>
      <c r="AN187">
        <v>0</v>
      </c>
      <c r="AO187">
        <v>0</v>
      </c>
      <c r="AP187">
        <v>2</v>
      </c>
      <c r="AQ187">
        <v>1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1</v>
      </c>
      <c r="BC187">
        <v>11</v>
      </c>
      <c r="BD187">
        <v>1</v>
      </c>
      <c r="BE187">
        <v>4</v>
      </c>
      <c r="BF187">
        <v>1</v>
      </c>
      <c r="BG187">
        <v>0</v>
      </c>
      <c r="BH187">
        <v>1</v>
      </c>
      <c r="BI187">
        <v>1</v>
      </c>
      <c r="BJ187">
        <v>1</v>
      </c>
      <c r="BK187">
        <v>0</v>
      </c>
      <c r="BL187">
        <v>0</v>
      </c>
      <c r="BM187">
        <v>2</v>
      </c>
      <c r="BN187">
        <v>11</v>
      </c>
      <c r="BO187">
        <v>94</v>
      </c>
      <c r="BP187">
        <v>88</v>
      </c>
      <c r="BQ187">
        <v>3</v>
      </c>
      <c r="BR187">
        <v>0</v>
      </c>
      <c r="BS187">
        <v>0</v>
      </c>
      <c r="BT187">
        <v>1</v>
      </c>
      <c r="BU187">
        <v>1</v>
      </c>
      <c r="BV187">
        <v>0</v>
      </c>
      <c r="BW187">
        <v>0</v>
      </c>
      <c r="BX187">
        <v>1</v>
      </c>
      <c r="BY187">
        <v>0</v>
      </c>
      <c r="BZ187">
        <v>94</v>
      </c>
      <c r="CA187">
        <v>2</v>
      </c>
      <c r="CB187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2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4</v>
      </c>
      <c r="CZ187">
        <v>3</v>
      </c>
      <c r="DA187">
        <v>0</v>
      </c>
      <c r="DB187">
        <v>0</v>
      </c>
      <c r="DC187">
        <v>1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4</v>
      </c>
      <c r="DK187">
        <v>7</v>
      </c>
      <c r="DL187">
        <v>3</v>
      </c>
      <c r="DM187">
        <v>3</v>
      </c>
      <c r="DN187">
        <v>0</v>
      </c>
      <c r="DO187">
        <v>0</v>
      </c>
      <c r="DP187">
        <v>0</v>
      </c>
      <c r="DQ187">
        <v>0</v>
      </c>
      <c r="DR187">
        <v>1</v>
      </c>
      <c r="DS187">
        <v>0</v>
      </c>
      <c r="DT187">
        <v>0</v>
      </c>
      <c r="DU187">
        <v>0</v>
      </c>
      <c r="DV187">
        <v>7</v>
      </c>
      <c r="DW187">
        <v>18</v>
      </c>
      <c r="DX187">
        <v>2</v>
      </c>
      <c r="DY187">
        <v>2</v>
      </c>
      <c r="DZ187">
        <v>1</v>
      </c>
      <c r="EA187">
        <v>0</v>
      </c>
      <c r="EB187">
        <v>11</v>
      </c>
      <c r="EC187">
        <v>0</v>
      </c>
      <c r="ED187">
        <v>0</v>
      </c>
      <c r="EE187">
        <v>1</v>
      </c>
      <c r="EF187">
        <v>1</v>
      </c>
      <c r="EG187">
        <v>0</v>
      </c>
      <c r="EH187">
        <v>18</v>
      </c>
      <c r="EI187">
        <v>3</v>
      </c>
      <c r="EJ187">
        <v>0</v>
      </c>
      <c r="EK187">
        <v>3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3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</row>
    <row r="188" spans="1:172" ht="14.25">
      <c r="A188">
        <v>183</v>
      </c>
      <c r="B188" t="str">
        <f>"101007"</f>
        <v>101007</v>
      </c>
      <c r="C188" t="str">
        <f>"Ręczno"</f>
        <v>Ręczno</v>
      </c>
      <c r="D188" t="str">
        <f t="shared" si="32"/>
        <v>piotrkowski</v>
      </c>
      <c r="E188" t="str">
        <f t="shared" si="23"/>
        <v>łódzkie</v>
      </c>
      <c r="F188">
        <v>2</v>
      </c>
      <c r="G188" t="s">
        <v>36</v>
      </c>
      <c r="H188">
        <v>771</v>
      </c>
      <c r="I188">
        <v>771</v>
      </c>
      <c r="J188">
        <v>0</v>
      </c>
      <c r="K188">
        <v>560</v>
      </c>
      <c r="L188">
        <v>440</v>
      </c>
      <c r="M188">
        <v>120</v>
      </c>
      <c r="N188">
        <v>120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120</v>
      </c>
      <c r="Z188">
        <v>0</v>
      </c>
      <c r="AA188">
        <v>0</v>
      </c>
      <c r="AB188">
        <v>120</v>
      </c>
      <c r="AC188">
        <v>1</v>
      </c>
      <c r="AD188">
        <v>119</v>
      </c>
      <c r="AE188">
        <v>5</v>
      </c>
      <c r="AF188">
        <v>2</v>
      </c>
      <c r="AG188">
        <v>1</v>
      </c>
      <c r="AH188">
        <v>0</v>
      </c>
      <c r="AI188">
        <v>1</v>
      </c>
      <c r="AJ188">
        <v>0</v>
      </c>
      <c r="AK188">
        <v>0</v>
      </c>
      <c r="AL188">
        <v>1</v>
      </c>
      <c r="AM188">
        <v>0</v>
      </c>
      <c r="AN188">
        <v>0</v>
      </c>
      <c r="AO188">
        <v>0</v>
      </c>
      <c r="AP188">
        <v>5</v>
      </c>
      <c r="AQ188">
        <v>1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1</v>
      </c>
      <c r="BC188">
        <v>9</v>
      </c>
      <c r="BD188">
        <v>4</v>
      </c>
      <c r="BE188">
        <v>0</v>
      </c>
      <c r="BF188">
        <v>0</v>
      </c>
      <c r="BG188">
        <v>0</v>
      </c>
      <c r="BH188">
        <v>3</v>
      </c>
      <c r="BI188">
        <v>0</v>
      </c>
      <c r="BJ188">
        <v>0</v>
      </c>
      <c r="BK188">
        <v>0</v>
      </c>
      <c r="BL188">
        <v>0</v>
      </c>
      <c r="BM188">
        <v>2</v>
      </c>
      <c r="BN188">
        <v>9</v>
      </c>
      <c r="BO188">
        <v>43</v>
      </c>
      <c r="BP188">
        <v>40</v>
      </c>
      <c r="BQ188">
        <v>2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1</v>
      </c>
      <c r="BZ188">
        <v>43</v>
      </c>
      <c r="CA188">
        <v>9</v>
      </c>
      <c r="CB188">
        <v>1</v>
      </c>
      <c r="CC188">
        <v>1</v>
      </c>
      <c r="CD188">
        <v>0</v>
      </c>
      <c r="CE188">
        <v>0</v>
      </c>
      <c r="CF188">
        <v>0</v>
      </c>
      <c r="CG188">
        <v>6</v>
      </c>
      <c r="CH188">
        <v>0</v>
      </c>
      <c r="CI188">
        <v>1</v>
      </c>
      <c r="CJ188">
        <v>0</v>
      </c>
      <c r="CK188">
        <v>0</v>
      </c>
      <c r="CL188">
        <v>9</v>
      </c>
      <c r="CM188">
        <v>2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1</v>
      </c>
      <c r="CU188">
        <v>1</v>
      </c>
      <c r="CV188">
        <v>0</v>
      </c>
      <c r="CW188">
        <v>0</v>
      </c>
      <c r="CX188">
        <v>2</v>
      </c>
      <c r="CY188">
        <v>7</v>
      </c>
      <c r="CZ188">
        <v>5</v>
      </c>
      <c r="DA188">
        <v>0</v>
      </c>
      <c r="DB188">
        <v>1</v>
      </c>
      <c r="DC188">
        <v>0</v>
      </c>
      <c r="DD188">
        <v>0</v>
      </c>
      <c r="DE188">
        <v>1</v>
      </c>
      <c r="DF188">
        <v>0</v>
      </c>
      <c r="DG188">
        <v>0</v>
      </c>
      <c r="DH188">
        <v>0</v>
      </c>
      <c r="DI188">
        <v>0</v>
      </c>
      <c r="DJ188">
        <v>7</v>
      </c>
      <c r="DK188">
        <v>16</v>
      </c>
      <c r="DL188">
        <v>11</v>
      </c>
      <c r="DM188">
        <v>2</v>
      </c>
      <c r="DN188">
        <v>0</v>
      </c>
      <c r="DO188">
        <v>0</v>
      </c>
      <c r="DP188">
        <v>1</v>
      </c>
      <c r="DQ188">
        <v>0</v>
      </c>
      <c r="DR188">
        <v>1</v>
      </c>
      <c r="DS188">
        <v>1</v>
      </c>
      <c r="DT188">
        <v>0</v>
      </c>
      <c r="DU188">
        <v>0</v>
      </c>
      <c r="DV188">
        <v>16</v>
      </c>
      <c r="DW188">
        <v>27</v>
      </c>
      <c r="DX188">
        <v>5</v>
      </c>
      <c r="DY188">
        <v>2</v>
      </c>
      <c r="DZ188">
        <v>0</v>
      </c>
      <c r="EA188">
        <v>1</v>
      </c>
      <c r="EB188">
        <v>18</v>
      </c>
      <c r="EC188">
        <v>0</v>
      </c>
      <c r="ED188">
        <v>0</v>
      </c>
      <c r="EE188">
        <v>0</v>
      </c>
      <c r="EF188">
        <v>1</v>
      </c>
      <c r="EG188">
        <v>0</v>
      </c>
      <c r="EH188">
        <v>27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</row>
    <row r="189" spans="1:172" ht="14.25">
      <c r="A189">
        <v>184</v>
      </c>
      <c r="B189" t="str">
        <f>"101007"</f>
        <v>101007</v>
      </c>
      <c r="C189" t="str">
        <f>"Ręczno"</f>
        <v>Ręczno</v>
      </c>
      <c r="D189" t="str">
        <f t="shared" si="32"/>
        <v>piotrkowski</v>
      </c>
      <c r="E189" t="str">
        <f t="shared" si="23"/>
        <v>łódzkie</v>
      </c>
      <c r="F189">
        <v>3</v>
      </c>
      <c r="G189" t="str">
        <f>"Publiczny Zespół Szkolno-Gimnazjalny w Ręcznie, ul. Główna 21, 97-510 Ręczno"</f>
        <v>Publiczny Zespół Szkolno-Gimnazjalny w Ręcznie, ul. Główna 21, 97-510 Ręczno</v>
      </c>
      <c r="H189">
        <v>856</v>
      </c>
      <c r="I189">
        <v>856</v>
      </c>
      <c r="J189">
        <v>0</v>
      </c>
      <c r="K189">
        <v>609</v>
      </c>
      <c r="L189">
        <v>455</v>
      </c>
      <c r="M189">
        <v>154</v>
      </c>
      <c r="N189">
        <v>154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154</v>
      </c>
      <c r="Z189">
        <v>0</v>
      </c>
      <c r="AA189">
        <v>0</v>
      </c>
      <c r="AB189">
        <v>154</v>
      </c>
      <c r="AC189">
        <v>3</v>
      </c>
      <c r="AD189">
        <v>151</v>
      </c>
      <c r="AE189">
        <v>7</v>
      </c>
      <c r="AF189">
        <v>2</v>
      </c>
      <c r="AG189">
        <v>0</v>
      </c>
      <c r="AH189">
        <v>3</v>
      </c>
      <c r="AI189">
        <v>0</v>
      </c>
      <c r="AJ189">
        <v>1</v>
      </c>
      <c r="AK189">
        <v>0</v>
      </c>
      <c r="AL189">
        <v>0</v>
      </c>
      <c r="AM189">
        <v>0</v>
      </c>
      <c r="AN189">
        <v>1</v>
      </c>
      <c r="AO189">
        <v>0</v>
      </c>
      <c r="AP189">
        <v>7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23</v>
      </c>
      <c r="BD189">
        <v>5</v>
      </c>
      <c r="BE189">
        <v>1</v>
      </c>
      <c r="BF189">
        <v>1</v>
      </c>
      <c r="BG189">
        <v>0</v>
      </c>
      <c r="BH189">
        <v>6</v>
      </c>
      <c r="BI189">
        <v>1</v>
      </c>
      <c r="BJ189">
        <v>1</v>
      </c>
      <c r="BK189">
        <v>1</v>
      </c>
      <c r="BL189">
        <v>0</v>
      </c>
      <c r="BM189">
        <v>7</v>
      </c>
      <c r="BN189">
        <v>23</v>
      </c>
      <c r="BO189">
        <v>51</v>
      </c>
      <c r="BP189">
        <v>43</v>
      </c>
      <c r="BQ189">
        <v>3</v>
      </c>
      <c r="BR189">
        <v>1</v>
      </c>
      <c r="BS189">
        <v>0</v>
      </c>
      <c r="BT189">
        <v>0</v>
      </c>
      <c r="BU189">
        <v>4</v>
      </c>
      <c r="BV189">
        <v>0</v>
      </c>
      <c r="BW189">
        <v>0</v>
      </c>
      <c r="BX189">
        <v>0</v>
      </c>
      <c r="BY189">
        <v>0</v>
      </c>
      <c r="BZ189">
        <v>51</v>
      </c>
      <c r="CA189">
        <v>10</v>
      </c>
      <c r="CB189">
        <v>3</v>
      </c>
      <c r="CC189">
        <v>3</v>
      </c>
      <c r="CD189">
        <v>1</v>
      </c>
      <c r="CE189">
        <v>0</v>
      </c>
      <c r="CF189">
        <v>0</v>
      </c>
      <c r="CG189">
        <v>0</v>
      </c>
      <c r="CH189">
        <v>0</v>
      </c>
      <c r="CI189">
        <v>2</v>
      </c>
      <c r="CJ189">
        <v>1</v>
      </c>
      <c r="CK189">
        <v>0</v>
      </c>
      <c r="CL189">
        <v>10</v>
      </c>
      <c r="CM189">
        <v>2</v>
      </c>
      <c r="CN189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1</v>
      </c>
      <c r="CV189">
        <v>0</v>
      </c>
      <c r="CW189">
        <v>0</v>
      </c>
      <c r="CX189">
        <v>2</v>
      </c>
      <c r="CY189">
        <v>2</v>
      </c>
      <c r="CZ189">
        <v>1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2</v>
      </c>
      <c r="DK189">
        <v>22</v>
      </c>
      <c r="DL189">
        <v>17</v>
      </c>
      <c r="DM189">
        <v>4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1</v>
      </c>
      <c r="DU189">
        <v>0</v>
      </c>
      <c r="DV189">
        <v>22</v>
      </c>
      <c r="DW189">
        <v>31</v>
      </c>
      <c r="DX189">
        <v>4</v>
      </c>
      <c r="DY189">
        <v>3</v>
      </c>
      <c r="DZ189">
        <v>0</v>
      </c>
      <c r="EA189">
        <v>0</v>
      </c>
      <c r="EB189">
        <v>22</v>
      </c>
      <c r="EC189">
        <v>0</v>
      </c>
      <c r="ED189">
        <v>0</v>
      </c>
      <c r="EE189">
        <v>0</v>
      </c>
      <c r="EF189">
        <v>1</v>
      </c>
      <c r="EG189">
        <v>1</v>
      </c>
      <c r="EH189">
        <v>31</v>
      </c>
      <c r="EI189">
        <v>2</v>
      </c>
      <c r="EJ189">
        <v>0</v>
      </c>
      <c r="EK189">
        <v>2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2</v>
      </c>
      <c r="ES189">
        <v>1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1</v>
      </c>
      <c r="FD189">
        <v>1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0</v>
      </c>
    </row>
    <row r="190" spans="1:172" ht="14.25">
      <c r="A190">
        <v>185</v>
      </c>
      <c r="B190" t="str">
        <f>"101007"</f>
        <v>101007</v>
      </c>
      <c r="C190" t="str">
        <f>"Ręczno"</f>
        <v>Ręczno</v>
      </c>
      <c r="D190" t="str">
        <f t="shared" si="32"/>
        <v>piotrkowski</v>
      </c>
      <c r="E190" t="str">
        <f t="shared" si="23"/>
        <v>łódzkie</v>
      </c>
      <c r="F190">
        <v>4</v>
      </c>
      <c r="G190" t="str">
        <f>"Szkoła Podstawowa w Stobnicy, Stobnica 51A, 97-510 Ręczno"</f>
        <v>Szkoła Podstawowa w Stobnicy, Stobnica 51A, 97-510 Ręczno</v>
      </c>
      <c r="H190">
        <v>740</v>
      </c>
      <c r="I190">
        <v>740</v>
      </c>
      <c r="J190">
        <v>0</v>
      </c>
      <c r="K190">
        <v>490</v>
      </c>
      <c r="L190">
        <v>386</v>
      </c>
      <c r="M190">
        <v>104</v>
      </c>
      <c r="N190">
        <v>104</v>
      </c>
      <c r="O190">
        <v>0</v>
      </c>
      <c r="P190">
        <v>0</v>
      </c>
      <c r="Q190">
        <v>2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104</v>
      </c>
      <c r="Z190">
        <v>0</v>
      </c>
      <c r="AA190">
        <v>0</v>
      </c>
      <c r="AB190">
        <v>104</v>
      </c>
      <c r="AC190">
        <v>2</v>
      </c>
      <c r="AD190">
        <v>102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8</v>
      </c>
      <c r="BD190">
        <v>0</v>
      </c>
      <c r="BE190">
        <v>1</v>
      </c>
      <c r="BF190">
        <v>0</v>
      </c>
      <c r="BG190">
        <v>0</v>
      </c>
      <c r="BH190">
        <v>1</v>
      </c>
      <c r="BI190">
        <v>0</v>
      </c>
      <c r="BJ190">
        <v>0</v>
      </c>
      <c r="BK190">
        <v>2</v>
      </c>
      <c r="BL190">
        <v>0</v>
      </c>
      <c r="BM190">
        <v>4</v>
      </c>
      <c r="BN190">
        <v>8</v>
      </c>
      <c r="BO190">
        <v>64</v>
      </c>
      <c r="BP190">
        <v>51</v>
      </c>
      <c r="BQ190">
        <v>1</v>
      </c>
      <c r="BR190">
        <v>3</v>
      </c>
      <c r="BS190">
        <v>3</v>
      </c>
      <c r="BT190">
        <v>1</v>
      </c>
      <c r="BU190">
        <v>2</v>
      </c>
      <c r="BV190">
        <v>1</v>
      </c>
      <c r="BW190">
        <v>1</v>
      </c>
      <c r="BX190">
        <v>1</v>
      </c>
      <c r="BY190">
        <v>0</v>
      </c>
      <c r="BZ190">
        <v>64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1</v>
      </c>
      <c r="CN190">
        <v>0</v>
      </c>
      <c r="CO190">
        <v>1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5</v>
      </c>
      <c r="CZ190">
        <v>3</v>
      </c>
      <c r="DA190">
        <v>0</v>
      </c>
      <c r="DB190">
        <v>0</v>
      </c>
      <c r="DC190">
        <v>0</v>
      </c>
      <c r="DD190">
        <v>0</v>
      </c>
      <c r="DE190">
        <v>2</v>
      </c>
      <c r="DF190">
        <v>0</v>
      </c>
      <c r="DG190">
        <v>0</v>
      </c>
      <c r="DH190">
        <v>0</v>
      </c>
      <c r="DI190">
        <v>0</v>
      </c>
      <c r="DJ190">
        <v>5</v>
      </c>
      <c r="DK190">
        <v>8</v>
      </c>
      <c r="DL190">
        <v>6</v>
      </c>
      <c r="DM190">
        <v>1</v>
      </c>
      <c r="DN190">
        <v>0</v>
      </c>
      <c r="DO190">
        <v>1</v>
      </c>
      <c r="DP190">
        <v>0</v>
      </c>
      <c r="DQ190">
        <v>0</v>
      </c>
      <c r="DR190">
        <v>0</v>
      </c>
      <c r="DS190">
        <v>0</v>
      </c>
      <c r="DT190">
        <v>0</v>
      </c>
      <c r="DU190">
        <v>0</v>
      </c>
      <c r="DV190">
        <v>8</v>
      </c>
      <c r="DW190">
        <v>16</v>
      </c>
      <c r="DX190">
        <v>1</v>
      </c>
      <c r="DY190">
        <v>5</v>
      </c>
      <c r="DZ190">
        <v>0</v>
      </c>
      <c r="EA190">
        <v>0</v>
      </c>
      <c r="EB190">
        <v>10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16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</row>
    <row r="191" spans="1:172" ht="14.25">
      <c r="A191">
        <v>186</v>
      </c>
      <c r="B191" t="str">
        <f aca="true" t="shared" si="33" ref="B191:B199">"101008"</f>
        <v>101008</v>
      </c>
      <c r="C191" t="str">
        <f aca="true" t="shared" si="34" ref="C191:C199">"Rozprza"</f>
        <v>Rozprza</v>
      </c>
      <c r="D191" t="str">
        <f t="shared" si="32"/>
        <v>piotrkowski</v>
      </c>
      <c r="E191" t="str">
        <f t="shared" si="23"/>
        <v>łódzkie</v>
      </c>
      <c r="F191">
        <v>1</v>
      </c>
      <c r="G191" t="str">
        <f>"Zespół Szkolno-Gimnazjalny, ul. Częstochowska 27, Niechcice, 97-340 Rozprza"</f>
        <v>Zespół Szkolno-Gimnazjalny, ul. Częstochowska 27, Niechcice, 97-340 Rozprza</v>
      </c>
      <c r="H191">
        <v>1387</v>
      </c>
      <c r="I191">
        <v>1387</v>
      </c>
      <c r="J191">
        <v>0</v>
      </c>
      <c r="K191">
        <v>980</v>
      </c>
      <c r="L191">
        <v>736</v>
      </c>
      <c r="M191">
        <v>244</v>
      </c>
      <c r="N191">
        <v>244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244</v>
      </c>
      <c r="Z191">
        <v>0</v>
      </c>
      <c r="AA191">
        <v>0</v>
      </c>
      <c r="AB191">
        <v>244</v>
      </c>
      <c r="AC191">
        <v>8</v>
      </c>
      <c r="AD191">
        <v>236</v>
      </c>
      <c r="AE191">
        <v>8</v>
      </c>
      <c r="AF191">
        <v>2</v>
      </c>
      <c r="AG191">
        <v>0</v>
      </c>
      <c r="AH191">
        <v>2</v>
      </c>
      <c r="AI191">
        <v>0</v>
      </c>
      <c r="AJ191">
        <v>0</v>
      </c>
      <c r="AK191">
        <v>0</v>
      </c>
      <c r="AL191">
        <v>1</v>
      </c>
      <c r="AM191">
        <v>0</v>
      </c>
      <c r="AN191">
        <v>0</v>
      </c>
      <c r="AO191">
        <v>3</v>
      </c>
      <c r="AP191">
        <v>8</v>
      </c>
      <c r="AQ191">
        <v>2</v>
      </c>
      <c r="AR191">
        <v>2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2</v>
      </c>
      <c r="BC191">
        <v>19</v>
      </c>
      <c r="BD191">
        <v>1</v>
      </c>
      <c r="BE191">
        <v>1</v>
      </c>
      <c r="BF191">
        <v>0</v>
      </c>
      <c r="BG191">
        <v>0</v>
      </c>
      <c r="BH191">
        <v>13</v>
      </c>
      <c r="BI191">
        <v>0</v>
      </c>
      <c r="BJ191">
        <v>2</v>
      </c>
      <c r="BK191">
        <v>0</v>
      </c>
      <c r="BL191">
        <v>0</v>
      </c>
      <c r="BM191">
        <v>2</v>
      </c>
      <c r="BN191">
        <v>19</v>
      </c>
      <c r="BO191">
        <v>151</v>
      </c>
      <c r="BP191">
        <v>136</v>
      </c>
      <c r="BQ191">
        <v>3</v>
      </c>
      <c r="BR191">
        <v>3</v>
      </c>
      <c r="BS191">
        <v>1</v>
      </c>
      <c r="BT191">
        <v>1</v>
      </c>
      <c r="BU191">
        <v>2</v>
      </c>
      <c r="BV191">
        <v>2</v>
      </c>
      <c r="BW191">
        <v>0</v>
      </c>
      <c r="BX191">
        <v>1</v>
      </c>
      <c r="BY191">
        <v>2</v>
      </c>
      <c r="BZ191">
        <v>151</v>
      </c>
      <c r="CA191">
        <v>1</v>
      </c>
      <c r="CB191">
        <v>0</v>
      </c>
      <c r="CC191">
        <v>0</v>
      </c>
      <c r="CD191">
        <v>1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>
        <v>6</v>
      </c>
      <c r="CN191">
        <v>3</v>
      </c>
      <c r="CO191">
        <v>0</v>
      </c>
      <c r="CP191">
        <v>0</v>
      </c>
      <c r="CQ191">
        <v>2</v>
      </c>
      <c r="CR191">
        <v>0</v>
      </c>
      <c r="CS191">
        <v>0</v>
      </c>
      <c r="CT191">
        <v>0</v>
      </c>
      <c r="CU191">
        <v>1</v>
      </c>
      <c r="CV191">
        <v>0</v>
      </c>
      <c r="CW191">
        <v>0</v>
      </c>
      <c r="CX191">
        <v>6</v>
      </c>
      <c r="CY191">
        <v>4</v>
      </c>
      <c r="CZ191">
        <v>3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1</v>
      </c>
      <c r="DI191">
        <v>0</v>
      </c>
      <c r="DJ191">
        <v>4</v>
      </c>
      <c r="DK191">
        <v>25</v>
      </c>
      <c r="DL191">
        <v>17</v>
      </c>
      <c r="DM191">
        <v>6</v>
      </c>
      <c r="DN191">
        <v>0</v>
      </c>
      <c r="DO191">
        <v>0</v>
      </c>
      <c r="DP191">
        <v>1</v>
      </c>
      <c r="DQ191">
        <v>0</v>
      </c>
      <c r="DR191">
        <v>1</v>
      </c>
      <c r="DS191">
        <v>0</v>
      </c>
      <c r="DT191">
        <v>0</v>
      </c>
      <c r="DU191">
        <v>0</v>
      </c>
      <c r="DV191">
        <v>25</v>
      </c>
      <c r="DW191">
        <v>20</v>
      </c>
      <c r="DX191">
        <v>9</v>
      </c>
      <c r="DY191">
        <v>4</v>
      </c>
      <c r="DZ191">
        <v>0</v>
      </c>
      <c r="EA191">
        <v>0</v>
      </c>
      <c r="EB191">
        <v>2</v>
      </c>
      <c r="EC191">
        <v>3</v>
      </c>
      <c r="ED191">
        <v>2</v>
      </c>
      <c r="EE191">
        <v>0</v>
      </c>
      <c r="EF191">
        <v>0</v>
      </c>
      <c r="EG191">
        <v>0</v>
      </c>
      <c r="EH191">
        <v>20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</row>
    <row r="192" spans="1:172" ht="14.25">
      <c r="A192">
        <v>187</v>
      </c>
      <c r="B192" t="str">
        <f t="shared" si="33"/>
        <v>101008</v>
      </c>
      <c r="C192" t="str">
        <f t="shared" si="34"/>
        <v>Rozprza</v>
      </c>
      <c r="D192" t="str">
        <f t="shared" si="32"/>
        <v>piotrkowski</v>
      </c>
      <c r="E192" t="str">
        <f t="shared" si="23"/>
        <v>łódzkie</v>
      </c>
      <c r="F192">
        <v>2</v>
      </c>
      <c r="G192" t="str">
        <f>"Sala zebrań, Truszczanek 21A, 97-340 Rozprza"</f>
        <v>Sala zebrań, Truszczanek 21A, 97-340 Rozprza</v>
      </c>
      <c r="H192">
        <v>681</v>
      </c>
      <c r="I192">
        <v>681</v>
      </c>
      <c r="J192">
        <v>0</v>
      </c>
      <c r="K192">
        <v>479</v>
      </c>
      <c r="L192">
        <v>383</v>
      </c>
      <c r="M192">
        <v>96</v>
      </c>
      <c r="N192">
        <v>96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96</v>
      </c>
      <c r="Z192">
        <v>0</v>
      </c>
      <c r="AA192">
        <v>0</v>
      </c>
      <c r="AB192">
        <v>96</v>
      </c>
      <c r="AC192">
        <v>2</v>
      </c>
      <c r="AD192">
        <v>94</v>
      </c>
      <c r="AE192">
        <v>12</v>
      </c>
      <c r="AF192">
        <v>6</v>
      </c>
      <c r="AG192">
        <v>2</v>
      </c>
      <c r="AH192">
        <v>3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>
        <v>12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10</v>
      </c>
      <c r="BD192">
        <v>1</v>
      </c>
      <c r="BE192">
        <v>0</v>
      </c>
      <c r="BF192">
        <v>1</v>
      </c>
      <c r="BG192">
        <v>0</v>
      </c>
      <c r="BH192">
        <v>7</v>
      </c>
      <c r="BI192">
        <v>0</v>
      </c>
      <c r="BJ192">
        <v>0</v>
      </c>
      <c r="BK192">
        <v>0</v>
      </c>
      <c r="BL192">
        <v>0</v>
      </c>
      <c r="BM192">
        <v>1</v>
      </c>
      <c r="BN192">
        <v>10</v>
      </c>
      <c r="BO192">
        <v>46</v>
      </c>
      <c r="BP192">
        <v>44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1</v>
      </c>
      <c r="BY192">
        <v>0</v>
      </c>
      <c r="BZ192">
        <v>46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2</v>
      </c>
      <c r="CN192">
        <v>1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2</v>
      </c>
      <c r="CY192">
        <v>1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1</v>
      </c>
      <c r="DK192">
        <v>7</v>
      </c>
      <c r="DL192">
        <v>5</v>
      </c>
      <c r="DM192">
        <v>1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DT192">
        <v>0</v>
      </c>
      <c r="DU192">
        <v>1</v>
      </c>
      <c r="DV192">
        <v>7</v>
      </c>
      <c r="DW192">
        <v>16</v>
      </c>
      <c r="DX192">
        <v>1</v>
      </c>
      <c r="DY192">
        <v>2</v>
      </c>
      <c r="DZ192">
        <v>0</v>
      </c>
      <c r="EA192">
        <v>0</v>
      </c>
      <c r="EB192">
        <v>3</v>
      </c>
      <c r="EC192">
        <v>0</v>
      </c>
      <c r="ED192">
        <v>0</v>
      </c>
      <c r="EE192">
        <v>10</v>
      </c>
      <c r="EF192">
        <v>0</v>
      </c>
      <c r="EG192">
        <v>0</v>
      </c>
      <c r="EH192">
        <v>16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</row>
    <row r="193" spans="1:172" ht="14.25">
      <c r="A193">
        <v>188</v>
      </c>
      <c r="B193" t="str">
        <f t="shared" si="33"/>
        <v>101008</v>
      </c>
      <c r="C193" t="str">
        <f t="shared" si="34"/>
        <v>Rozprza</v>
      </c>
      <c r="D193" t="str">
        <f t="shared" si="32"/>
        <v>piotrkowski</v>
      </c>
      <c r="E193" t="str">
        <f t="shared" si="23"/>
        <v>łódzkie</v>
      </c>
      <c r="F193">
        <v>3</v>
      </c>
      <c r="G193" t="str">
        <f>"Szkoła Podstawowa, Nowa Wieś 84, 97-340 Rozprza"</f>
        <v>Szkoła Podstawowa, Nowa Wieś 84, 97-340 Rozprza</v>
      </c>
      <c r="H193">
        <v>1182</v>
      </c>
      <c r="I193">
        <v>1182</v>
      </c>
      <c r="J193">
        <v>0</v>
      </c>
      <c r="K193">
        <v>830</v>
      </c>
      <c r="L193">
        <v>660</v>
      </c>
      <c r="M193">
        <v>170</v>
      </c>
      <c r="N193">
        <v>170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170</v>
      </c>
      <c r="Z193">
        <v>0</v>
      </c>
      <c r="AA193">
        <v>0</v>
      </c>
      <c r="AB193">
        <v>170</v>
      </c>
      <c r="AC193">
        <v>13</v>
      </c>
      <c r="AD193">
        <v>157</v>
      </c>
      <c r="AE193">
        <v>12</v>
      </c>
      <c r="AF193">
        <v>2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10</v>
      </c>
      <c r="AP193">
        <v>12</v>
      </c>
      <c r="AQ193">
        <v>3</v>
      </c>
      <c r="AR193">
        <v>2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1</v>
      </c>
      <c r="BB193">
        <v>3</v>
      </c>
      <c r="BC193">
        <v>16</v>
      </c>
      <c r="BD193">
        <v>5</v>
      </c>
      <c r="BE193">
        <v>0</v>
      </c>
      <c r="BF193">
        <v>0</v>
      </c>
      <c r="BG193">
        <v>0</v>
      </c>
      <c r="BH193">
        <v>7</v>
      </c>
      <c r="BI193">
        <v>2</v>
      </c>
      <c r="BJ193">
        <v>0</v>
      </c>
      <c r="BK193">
        <v>0</v>
      </c>
      <c r="BL193">
        <v>0</v>
      </c>
      <c r="BM193">
        <v>2</v>
      </c>
      <c r="BN193">
        <v>16</v>
      </c>
      <c r="BO193">
        <v>74</v>
      </c>
      <c r="BP193">
        <v>57</v>
      </c>
      <c r="BQ193">
        <v>2</v>
      </c>
      <c r="BR193">
        <v>1</v>
      </c>
      <c r="BS193">
        <v>3</v>
      </c>
      <c r="BT193">
        <v>0</v>
      </c>
      <c r="BU193">
        <v>6</v>
      </c>
      <c r="BV193">
        <v>0</v>
      </c>
      <c r="BW193">
        <v>1</v>
      </c>
      <c r="BX193">
        <v>2</v>
      </c>
      <c r="BY193">
        <v>2</v>
      </c>
      <c r="BZ193">
        <v>74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1</v>
      </c>
      <c r="CN193">
        <v>0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1</v>
      </c>
      <c r="CY193">
        <v>13</v>
      </c>
      <c r="CZ193">
        <v>7</v>
      </c>
      <c r="DA193">
        <v>0</v>
      </c>
      <c r="DB193">
        <v>0</v>
      </c>
      <c r="DC193">
        <v>0</v>
      </c>
      <c r="DD193">
        <v>6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13</v>
      </c>
      <c r="DK193">
        <v>23</v>
      </c>
      <c r="DL193">
        <v>17</v>
      </c>
      <c r="DM193">
        <v>3</v>
      </c>
      <c r="DN193">
        <v>0</v>
      </c>
      <c r="DO193">
        <v>0</v>
      </c>
      <c r="DP193">
        <v>0</v>
      </c>
      <c r="DQ193">
        <v>0</v>
      </c>
      <c r="DR193">
        <v>2</v>
      </c>
      <c r="DS193">
        <v>1</v>
      </c>
      <c r="DT193">
        <v>0</v>
      </c>
      <c r="DU193">
        <v>0</v>
      </c>
      <c r="DV193">
        <v>23</v>
      </c>
      <c r="DW193">
        <v>13</v>
      </c>
      <c r="DX193">
        <v>2</v>
      </c>
      <c r="DY193">
        <v>2</v>
      </c>
      <c r="DZ193">
        <v>0</v>
      </c>
      <c r="EA193">
        <v>1</v>
      </c>
      <c r="EB193">
        <v>7</v>
      </c>
      <c r="EC193">
        <v>0</v>
      </c>
      <c r="ED193">
        <v>0</v>
      </c>
      <c r="EE193">
        <v>1</v>
      </c>
      <c r="EF193">
        <v>0</v>
      </c>
      <c r="EG193">
        <v>0</v>
      </c>
      <c r="EH193">
        <v>13</v>
      </c>
      <c r="EI193">
        <v>1</v>
      </c>
      <c r="EJ193">
        <v>1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1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1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1</v>
      </c>
      <c r="FM193">
        <v>0</v>
      </c>
      <c r="FN193">
        <v>0</v>
      </c>
      <c r="FO193">
        <v>0</v>
      </c>
      <c r="FP193">
        <v>1</v>
      </c>
    </row>
    <row r="194" spans="1:172" ht="14.25">
      <c r="A194">
        <v>189</v>
      </c>
      <c r="B194" t="str">
        <f t="shared" si="33"/>
        <v>101008</v>
      </c>
      <c r="C194" t="str">
        <f t="shared" si="34"/>
        <v>Rozprza</v>
      </c>
      <c r="D194" t="str">
        <f t="shared" si="32"/>
        <v>piotrkowski</v>
      </c>
      <c r="E194" t="str">
        <f t="shared" si="23"/>
        <v>łódzkie</v>
      </c>
      <c r="F194">
        <v>4</v>
      </c>
      <c r="G194" t="str">
        <f>"Szkoła Podstawowa, ul. Szkolna 1, 97-340 Rozprza"</f>
        <v>Szkoła Podstawowa, ul. Szkolna 1, 97-340 Rozprza</v>
      </c>
      <c r="H194">
        <v>1343</v>
      </c>
      <c r="I194">
        <v>1343</v>
      </c>
      <c r="J194">
        <v>0</v>
      </c>
      <c r="K194">
        <v>950</v>
      </c>
      <c r="L194">
        <v>659</v>
      </c>
      <c r="M194">
        <v>291</v>
      </c>
      <c r="N194">
        <v>291</v>
      </c>
      <c r="O194">
        <v>0</v>
      </c>
      <c r="P194">
        <v>0</v>
      </c>
      <c r="Q194">
        <v>3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291</v>
      </c>
      <c r="Z194">
        <v>0</v>
      </c>
      <c r="AA194">
        <v>0</v>
      </c>
      <c r="AB194">
        <v>291</v>
      </c>
      <c r="AC194">
        <v>5</v>
      </c>
      <c r="AD194">
        <v>286</v>
      </c>
      <c r="AE194">
        <v>12</v>
      </c>
      <c r="AF194">
        <v>0</v>
      </c>
      <c r="AG194">
        <v>4</v>
      </c>
      <c r="AH194">
        <v>1</v>
      </c>
      <c r="AI194">
        <v>1</v>
      </c>
      <c r="AJ194">
        <v>0</v>
      </c>
      <c r="AK194">
        <v>0</v>
      </c>
      <c r="AL194">
        <v>2</v>
      </c>
      <c r="AM194">
        <v>0</v>
      </c>
      <c r="AN194">
        <v>0</v>
      </c>
      <c r="AO194">
        <v>4</v>
      </c>
      <c r="AP194">
        <v>12</v>
      </c>
      <c r="AQ194">
        <v>1</v>
      </c>
      <c r="AR194">
        <v>0</v>
      </c>
      <c r="AS194">
        <v>1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28</v>
      </c>
      <c r="BD194">
        <v>5</v>
      </c>
      <c r="BE194">
        <v>2</v>
      </c>
      <c r="BF194">
        <v>0</v>
      </c>
      <c r="BG194">
        <v>0</v>
      </c>
      <c r="BH194">
        <v>7</v>
      </c>
      <c r="BI194">
        <v>0</v>
      </c>
      <c r="BJ194">
        <v>2</v>
      </c>
      <c r="BK194">
        <v>0</v>
      </c>
      <c r="BL194">
        <v>1</v>
      </c>
      <c r="BM194">
        <v>11</v>
      </c>
      <c r="BN194">
        <v>28</v>
      </c>
      <c r="BO194">
        <v>135</v>
      </c>
      <c r="BP194">
        <v>102</v>
      </c>
      <c r="BQ194">
        <v>6</v>
      </c>
      <c r="BR194">
        <v>7</v>
      </c>
      <c r="BS194">
        <v>1</v>
      </c>
      <c r="BT194">
        <v>2</v>
      </c>
      <c r="BU194">
        <v>8</v>
      </c>
      <c r="BV194">
        <v>0</v>
      </c>
      <c r="BW194">
        <v>0</v>
      </c>
      <c r="BX194">
        <v>5</v>
      </c>
      <c r="BY194">
        <v>4</v>
      </c>
      <c r="BZ194">
        <v>135</v>
      </c>
      <c r="CA194">
        <v>4</v>
      </c>
      <c r="CB194">
        <v>1</v>
      </c>
      <c r="CC194">
        <v>1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1</v>
      </c>
      <c r="CJ194">
        <v>1</v>
      </c>
      <c r="CK194">
        <v>0</v>
      </c>
      <c r="CL194">
        <v>4</v>
      </c>
      <c r="CM194">
        <v>8</v>
      </c>
      <c r="CN194">
        <v>4</v>
      </c>
      <c r="CO194">
        <v>0</v>
      </c>
      <c r="CP194">
        <v>0</v>
      </c>
      <c r="CQ194">
        <v>1</v>
      </c>
      <c r="CR194">
        <v>0</v>
      </c>
      <c r="CS194">
        <v>1</v>
      </c>
      <c r="CT194">
        <v>1</v>
      </c>
      <c r="CU194">
        <v>0</v>
      </c>
      <c r="CV194">
        <v>0</v>
      </c>
      <c r="CW194">
        <v>1</v>
      </c>
      <c r="CX194">
        <v>8</v>
      </c>
      <c r="CY194">
        <v>19</v>
      </c>
      <c r="CZ194">
        <v>10</v>
      </c>
      <c r="DA194">
        <v>1</v>
      </c>
      <c r="DB194">
        <v>0</v>
      </c>
      <c r="DC194">
        <v>0</v>
      </c>
      <c r="DD194">
        <v>1</v>
      </c>
      <c r="DE194">
        <v>1</v>
      </c>
      <c r="DF194">
        <v>3</v>
      </c>
      <c r="DG194">
        <v>1</v>
      </c>
      <c r="DH194">
        <v>2</v>
      </c>
      <c r="DI194">
        <v>0</v>
      </c>
      <c r="DJ194">
        <v>19</v>
      </c>
      <c r="DK194">
        <v>53</v>
      </c>
      <c r="DL194">
        <v>32</v>
      </c>
      <c r="DM194">
        <v>17</v>
      </c>
      <c r="DN194">
        <v>2</v>
      </c>
      <c r="DO194">
        <v>0</v>
      </c>
      <c r="DP194">
        <v>0</v>
      </c>
      <c r="DQ194">
        <v>0</v>
      </c>
      <c r="DR194">
        <v>1</v>
      </c>
      <c r="DS194">
        <v>0</v>
      </c>
      <c r="DT194">
        <v>0</v>
      </c>
      <c r="DU194">
        <v>1</v>
      </c>
      <c r="DV194">
        <v>53</v>
      </c>
      <c r="DW194">
        <v>22</v>
      </c>
      <c r="DX194">
        <v>5</v>
      </c>
      <c r="DY194">
        <v>5</v>
      </c>
      <c r="DZ194">
        <v>0</v>
      </c>
      <c r="EA194">
        <v>0</v>
      </c>
      <c r="EB194">
        <v>7</v>
      </c>
      <c r="EC194">
        <v>0</v>
      </c>
      <c r="ED194">
        <v>1</v>
      </c>
      <c r="EE194">
        <v>3</v>
      </c>
      <c r="EF194">
        <v>0</v>
      </c>
      <c r="EG194">
        <v>1</v>
      </c>
      <c r="EH194">
        <v>22</v>
      </c>
      <c r="EI194">
        <v>3</v>
      </c>
      <c r="EJ194">
        <v>1</v>
      </c>
      <c r="EK194">
        <v>2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3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1</v>
      </c>
      <c r="FF194">
        <v>0</v>
      </c>
      <c r="FG194">
        <v>1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1</v>
      </c>
    </row>
    <row r="195" spans="1:172" ht="14.25">
      <c r="A195">
        <v>190</v>
      </c>
      <c r="B195" t="str">
        <f t="shared" si="33"/>
        <v>101008</v>
      </c>
      <c r="C195" t="str">
        <f t="shared" si="34"/>
        <v>Rozprza</v>
      </c>
      <c r="D195" t="str">
        <f t="shared" si="32"/>
        <v>piotrkowski</v>
      </c>
      <c r="E195" t="str">
        <f t="shared" si="23"/>
        <v>łódzkie</v>
      </c>
      <c r="F195">
        <v>5</v>
      </c>
      <c r="G195" t="str">
        <f>"Gimnazjum, ul. Sportowa 12A, 97-340 Rozprza"</f>
        <v>Gimnazjum, ul. Sportowa 12A, 97-340 Rozprza</v>
      </c>
      <c r="H195">
        <v>1487</v>
      </c>
      <c r="I195">
        <v>1487</v>
      </c>
      <c r="J195">
        <v>0</v>
      </c>
      <c r="K195">
        <v>1049</v>
      </c>
      <c r="L195">
        <v>908</v>
      </c>
      <c r="M195">
        <v>141</v>
      </c>
      <c r="N195">
        <v>141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141</v>
      </c>
      <c r="Z195">
        <v>0</v>
      </c>
      <c r="AA195">
        <v>0</v>
      </c>
      <c r="AB195">
        <v>141</v>
      </c>
      <c r="AC195">
        <v>6</v>
      </c>
      <c r="AD195">
        <v>135</v>
      </c>
      <c r="AE195">
        <v>9</v>
      </c>
      <c r="AF195">
        <v>3</v>
      </c>
      <c r="AG195">
        <v>0</v>
      </c>
      <c r="AH195">
        <v>1</v>
      </c>
      <c r="AI195">
        <v>1</v>
      </c>
      <c r="AJ195">
        <v>1</v>
      </c>
      <c r="AK195">
        <v>0</v>
      </c>
      <c r="AL195">
        <v>0</v>
      </c>
      <c r="AM195">
        <v>0</v>
      </c>
      <c r="AN195">
        <v>0</v>
      </c>
      <c r="AO195">
        <v>3</v>
      </c>
      <c r="AP195">
        <v>9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1</v>
      </c>
      <c r="BC195">
        <v>13</v>
      </c>
      <c r="BD195">
        <v>2</v>
      </c>
      <c r="BE195">
        <v>0</v>
      </c>
      <c r="BF195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10</v>
      </c>
      <c r="BN195">
        <v>13</v>
      </c>
      <c r="BO195">
        <v>43</v>
      </c>
      <c r="BP195">
        <v>35</v>
      </c>
      <c r="BQ195">
        <v>2</v>
      </c>
      <c r="BR195">
        <v>1</v>
      </c>
      <c r="BS195">
        <v>1</v>
      </c>
      <c r="BT195">
        <v>0</v>
      </c>
      <c r="BU195">
        <v>3</v>
      </c>
      <c r="BV195">
        <v>0</v>
      </c>
      <c r="BW195">
        <v>0</v>
      </c>
      <c r="BX195">
        <v>1</v>
      </c>
      <c r="BY195">
        <v>0</v>
      </c>
      <c r="BZ195">
        <v>43</v>
      </c>
      <c r="CA195">
        <v>1</v>
      </c>
      <c r="CB195">
        <v>1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17</v>
      </c>
      <c r="CZ195">
        <v>16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1</v>
      </c>
      <c r="DG195">
        <v>0</v>
      </c>
      <c r="DH195">
        <v>0</v>
      </c>
      <c r="DI195">
        <v>0</v>
      </c>
      <c r="DJ195">
        <v>17</v>
      </c>
      <c r="DK195">
        <v>21</v>
      </c>
      <c r="DL195">
        <v>11</v>
      </c>
      <c r="DM195">
        <v>5</v>
      </c>
      <c r="DN195">
        <v>0</v>
      </c>
      <c r="DO195">
        <v>2</v>
      </c>
      <c r="DP195">
        <v>0</v>
      </c>
      <c r="DQ195">
        <v>0</v>
      </c>
      <c r="DR195">
        <v>2</v>
      </c>
      <c r="DS195">
        <v>0</v>
      </c>
      <c r="DT195">
        <v>1</v>
      </c>
      <c r="DU195">
        <v>0</v>
      </c>
      <c r="DV195">
        <v>21</v>
      </c>
      <c r="DW195">
        <v>23</v>
      </c>
      <c r="DX195">
        <v>0</v>
      </c>
      <c r="DY195">
        <v>11</v>
      </c>
      <c r="DZ195">
        <v>0</v>
      </c>
      <c r="EA195">
        <v>0</v>
      </c>
      <c r="EB195">
        <v>2</v>
      </c>
      <c r="EC195">
        <v>2</v>
      </c>
      <c r="ED195">
        <v>0</v>
      </c>
      <c r="EE195">
        <v>7</v>
      </c>
      <c r="EF195">
        <v>0</v>
      </c>
      <c r="EG195">
        <v>1</v>
      </c>
      <c r="EH195">
        <v>23</v>
      </c>
      <c r="EI195">
        <v>5</v>
      </c>
      <c r="EJ195">
        <v>1</v>
      </c>
      <c r="EK195">
        <v>1</v>
      </c>
      <c r="EL195">
        <v>0</v>
      </c>
      <c r="EM195">
        <v>1</v>
      </c>
      <c r="EN195">
        <v>1</v>
      </c>
      <c r="EO195">
        <v>0</v>
      </c>
      <c r="EP195">
        <v>1</v>
      </c>
      <c r="EQ195">
        <v>0</v>
      </c>
      <c r="ER195">
        <v>5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2</v>
      </c>
      <c r="FF195">
        <v>0</v>
      </c>
      <c r="FG195">
        <v>1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1</v>
      </c>
      <c r="FP195">
        <v>2</v>
      </c>
    </row>
    <row r="196" spans="1:172" ht="14.25">
      <c r="A196">
        <v>191</v>
      </c>
      <c r="B196" t="str">
        <f t="shared" si="33"/>
        <v>101008</v>
      </c>
      <c r="C196" t="str">
        <f t="shared" si="34"/>
        <v>Rozprza</v>
      </c>
      <c r="D196" t="str">
        <f t="shared" si="32"/>
        <v>piotrkowski</v>
      </c>
      <c r="E196" t="str">
        <f t="shared" si="23"/>
        <v>łódzkie</v>
      </c>
      <c r="F196">
        <v>6</v>
      </c>
      <c r="G196" t="str">
        <f>"Szkoła Podstawowa, ul. Szkolna 12, Milejów, 97-340 Rozprza"</f>
        <v>Szkoła Podstawowa, ul. Szkolna 12, Milejów, 97-340 Rozprza</v>
      </c>
      <c r="H196">
        <v>1324</v>
      </c>
      <c r="I196">
        <v>1324</v>
      </c>
      <c r="J196">
        <v>0</v>
      </c>
      <c r="K196">
        <v>930</v>
      </c>
      <c r="L196">
        <v>734</v>
      </c>
      <c r="M196">
        <v>196</v>
      </c>
      <c r="N196">
        <v>196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196</v>
      </c>
      <c r="Z196">
        <v>0</v>
      </c>
      <c r="AA196">
        <v>0</v>
      </c>
      <c r="AB196">
        <v>196</v>
      </c>
      <c r="AC196">
        <v>9</v>
      </c>
      <c r="AD196">
        <v>187</v>
      </c>
      <c r="AE196">
        <v>4</v>
      </c>
      <c r="AF196">
        <v>3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1</v>
      </c>
      <c r="AP196">
        <v>4</v>
      </c>
      <c r="AQ196">
        <v>1</v>
      </c>
      <c r="AR196">
        <v>1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15</v>
      </c>
      <c r="BD196">
        <v>2</v>
      </c>
      <c r="BE196">
        <v>1</v>
      </c>
      <c r="BF196">
        <v>0</v>
      </c>
      <c r="BG196">
        <v>2</v>
      </c>
      <c r="BH196">
        <v>5</v>
      </c>
      <c r="BI196">
        <v>0</v>
      </c>
      <c r="BJ196">
        <v>2</v>
      </c>
      <c r="BK196">
        <v>1</v>
      </c>
      <c r="BL196">
        <v>0</v>
      </c>
      <c r="BM196">
        <v>2</v>
      </c>
      <c r="BN196">
        <v>15</v>
      </c>
      <c r="BO196">
        <v>82</v>
      </c>
      <c r="BP196">
        <v>61</v>
      </c>
      <c r="BQ196">
        <v>4</v>
      </c>
      <c r="BR196">
        <v>7</v>
      </c>
      <c r="BS196">
        <v>1</v>
      </c>
      <c r="BT196">
        <v>2</v>
      </c>
      <c r="BU196">
        <v>2</v>
      </c>
      <c r="BV196">
        <v>2</v>
      </c>
      <c r="BW196">
        <v>0</v>
      </c>
      <c r="BX196">
        <v>2</v>
      </c>
      <c r="BY196">
        <v>1</v>
      </c>
      <c r="BZ196">
        <v>82</v>
      </c>
      <c r="CA196">
        <v>1</v>
      </c>
      <c r="CB196">
        <v>0</v>
      </c>
      <c r="CC196">
        <v>1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1</v>
      </c>
      <c r="CM196">
        <v>2</v>
      </c>
      <c r="CN196">
        <v>0</v>
      </c>
      <c r="CO196">
        <v>2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2</v>
      </c>
      <c r="CY196">
        <v>6</v>
      </c>
      <c r="CZ196">
        <v>5</v>
      </c>
      <c r="DA196">
        <v>0</v>
      </c>
      <c r="DB196">
        <v>1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6</v>
      </c>
      <c r="DK196">
        <v>23</v>
      </c>
      <c r="DL196">
        <v>16</v>
      </c>
      <c r="DM196">
        <v>5</v>
      </c>
      <c r="DN196">
        <v>1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1</v>
      </c>
      <c r="DV196">
        <v>23</v>
      </c>
      <c r="DW196">
        <v>51</v>
      </c>
      <c r="DX196">
        <v>10</v>
      </c>
      <c r="DY196">
        <v>6</v>
      </c>
      <c r="DZ196">
        <v>0</v>
      </c>
      <c r="EA196">
        <v>0</v>
      </c>
      <c r="EB196">
        <v>8</v>
      </c>
      <c r="EC196">
        <v>4</v>
      </c>
      <c r="ED196">
        <v>3</v>
      </c>
      <c r="EE196">
        <v>7</v>
      </c>
      <c r="EF196">
        <v>13</v>
      </c>
      <c r="EG196">
        <v>0</v>
      </c>
      <c r="EH196">
        <v>51</v>
      </c>
      <c r="EI196">
        <v>1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1</v>
      </c>
      <c r="EP196">
        <v>0</v>
      </c>
      <c r="EQ196">
        <v>0</v>
      </c>
      <c r="ER196">
        <v>1</v>
      </c>
      <c r="ES196">
        <v>1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1</v>
      </c>
      <c r="FD196">
        <v>1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</row>
    <row r="197" spans="1:172" ht="14.25">
      <c r="A197">
        <v>192</v>
      </c>
      <c r="B197" t="str">
        <f t="shared" si="33"/>
        <v>101008</v>
      </c>
      <c r="C197" t="str">
        <f t="shared" si="34"/>
        <v>Rozprza</v>
      </c>
      <c r="D197" t="str">
        <f t="shared" si="32"/>
        <v>piotrkowski</v>
      </c>
      <c r="E197" t="str">
        <f t="shared" si="23"/>
        <v>łódzkie</v>
      </c>
      <c r="F197">
        <v>7</v>
      </c>
      <c r="G197" t="str">
        <f>"Szkoła Podstawowa, Straszów 70, 97-340 Rozprza"</f>
        <v>Szkoła Podstawowa, Straszów 70, 97-340 Rozprza</v>
      </c>
      <c r="H197">
        <v>1593</v>
      </c>
      <c r="I197">
        <v>1593</v>
      </c>
      <c r="J197">
        <v>0</v>
      </c>
      <c r="K197">
        <v>1160</v>
      </c>
      <c r="L197">
        <v>1009</v>
      </c>
      <c r="M197">
        <v>151</v>
      </c>
      <c r="N197">
        <v>151</v>
      </c>
      <c r="O197">
        <v>0</v>
      </c>
      <c r="P197">
        <v>0</v>
      </c>
      <c r="Q197">
        <v>1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151</v>
      </c>
      <c r="Z197">
        <v>0</v>
      </c>
      <c r="AA197">
        <v>0</v>
      </c>
      <c r="AB197">
        <v>151</v>
      </c>
      <c r="AC197">
        <v>6</v>
      </c>
      <c r="AD197">
        <v>145</v>
      </c>
      <c r="AE197">
        <v>7</v>
      </c>
      <c r="AF197">
        <v>1</v>
      </c>
      <c r="AG197">
        <v>2</v>
      </c>
      <c r="AH197">
        <v>0</v>
      </c>
      <c r="AI197">
        <v>0</v>
      </c>
      <c r="AJ197">
        <v>2</v>
      </c>
      <c r="AK197">
        <v>2</v>
      </c>
      <c r="AL197">
        <v>0</v>
      </c>
      <c r="AM197">
        <v>0</v>
      </c>
      <c r="AN197">
        <v>0</v>
      </c>
      <c r="AO197">
        <v>0</v>
      </c>
      <c r="AP197">
        <v>7</v>
      </c>
      <c r="AQ197">
        <v>2</v>
      </c>
      <c r="AR19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1</v>
      </c>
      <c r="BA197">
        <v>0</v>
      </c>
      <c r="BB197">
        <v>2</v>
      </c>
      <c r="BC197">
        <v>16</v>
      </c>
      <c r="BD197">
        <v>0</v>
      </c>
      <c r="BE197">
        <v>0</v>
      </c>
      <c r="BF197">
        <v>0</v>
      </c>
      <c r="BG197">
        <v>0</v>
      </c>
      <c r="BH197">
        <v>4</v>
      </c>
      <c r="BI197">
        <v>2</v>
      </c>
      <c r="BJ197">
        <v>0</v>
      </c>
      <c r="BK197">
        <v>0</v>
      </c>
      <c r="BL197">
        <v>0</v>
      </c>
      <c r="BM197">
        <v>10</v>
      </c>
      <c r="BN197">
        <v>16</v>
      </c>
      <c r="BO197">
        <v>76</v>
      </c>
      <c r="BP197">
        <v>61</v>
      </c>
      <c r="BQ197">
        <v>2</v>
      </c>
      <c r="BR197">
        <v>1</v>
      </c>
      <c r="BS197">
        <v>0</v>
      </c>
      <c r="BT197">
        <v>0</v>
      </c>
      <c r="BU197">
        <v>0</v>
      </c>
      <c r="BV197">
        <v>0</v>
      </c>
      <c r="BW197">
        <v>1</v>
      </c>
      <c r="BX197">
        <v>6</v>
      </c>
      <c r="BY197">
        <v>5</v>
      </c>
      <c r="BZ197">
        <v>76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2</v>
      </c>
      <c r="CN197">
        <v>1</v>
      </c>
      <c r="CO197">
        <v>1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2</v>
      </c>
      <c r="CY197">
        <v>11</v>
      </c>
      <c r="CZ197">
        <v>9</v>
      </c>
      <c r="DA197">
        <v>0</v>
      </c>
      <c r="DB197">
        <v>0</v>
      </c>
      <c r="DC197">
        <v>1</v>
      </c>
      <c r="DD197">
        <v>0</v>
      </c>
      <c r="DE197">
        <v>1</v>
      </c>
      <c r="DF197">
        <v>0</v>
      </c>
      <c r="DG197">
        <v>0</v>
      </c>
      <c r="DH197">
        <v>0</v>
      </c>
      <c r="DI197">
        <v>0</v>
      </c>
      <c r="DJ197">
        <v>11</v>
      </c>
      <c r="DK197">
        <v>11</v>
      </c>
      <c r="DL197">
        <v>9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2</v>
      </c>
      <c r="DS197">
        <v>0</v>
      </c>
      <c r="DT197">
        <v>0</v>
      </c>
      <c r="DU197">
        <v>0</v>
      </c>
      <c r="DV197">
        <v>11</v>
      </c>
      <c r="DW197">
        <v>19</v>
      </c>
      <c r="DX197">
        <v>3</v>
      </c>
      <c r="DY197">
        <v>11</v>
      </c>
      <c r="DZ197">
        <v>0</v>
      </c>
      <c r="EA197">
        <v>0</v>
      </c>
      <c r="EB197">
        <v>4</v>
      </c>
      <c r="EC197">
        <v>0</v>
      </c>
      <c r="ED197">
        <v>0</v>
      </c>
      <c r="EE197">
        <v>0</v>
      </c>
      <c r="EF197">
        <v>1</v>
      </c>
      <c r="EG197">
        <v>0</v>
      </c>
      <c r="EH197">
        <v>19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1</v>
      </c>
      <c r="FF197">
        <v>0</v>
      </c>
      <c r="FG197">
        <v>0</v>
      </c>
      <c r="FH197">
        <v>0</v>
      </c>
      <c r="FI197">
        <v>1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1</v>
      </c>
    </row>
    <row r="198" spans="1:172" ht="14.25">
      <c r="A198">
        <v>193</v>
      </c>
      <c r="B198" t="str">
        <f t="shared" si="33"/>
        <v>101008</v>
      </c>
      <c r="C198" t="str">
        <f t="shared" si="34"/>
        <v>Rozprza</v>
      </c>
      <c r="D198" t="str">
        <f t="shared" si="32"/>
        <v>piotrkowski</v>
      </c>
      <c r="E198" t="str">
        <f aca="true" t="shared" si="35" ref="E198:E261">"łódzkie"</f>
        <v>łódzkie</v>
      </c>
      <c r="F198">
        <v>8</v>
      </c>
      <c r="G198" t="str">
        <f>"Szkoła Podstawowa, Mierzyn 134, 97-340 Rozprza"</f>
        <v>Szkoła Podstawowa, Mierzyn 134, 97-340 Rozprza</v>
      </c>
      <c r="H198">
        <v>534</v>
      </c>
      <c r="I198">
        <v>534</v>
      </c>
      <c r="J198">
        <v>0</v>
      </c>
      <c r="K198">
        <v>380</v>
      </c>
      <c r="L198">
        <v>280</v>
      </c>
      <c r="M198">
        <v>100</v>
      </c>
      <c r="N198">
        <v>100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100</v>
      </c>
      <c r="Z198">
        <v>0</v>
      </c>
      <c r="AA198">
        <v>0</v>
      </c>
      <c r="AB198">
        <v>100</v>
      </c>
      <c r="AC198">
        <v>4</v>
      </c>
      <c r="AD198">
        <v>96</v>
      </c>
      <c r="AE198">
        <v>1</v>
      </c>
      <c r="AF198">
        <v>1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13</v>
      </c>
      <c r="BD198">
        <v>3</v>
      </c>
      <c r="BE198">
        <v>0</v>
      </c>
      <c r="BF198">
        <v>0</v>
      </c>
      <c r="BG198">
        <v>0</v>
      </c>
      <c r="BH198">
        <v>1</v>
      </c>
      <c r="BI198">
        <v>0</v>
      </c>
      <c r="BJ198">
        <v>9</v>
      </c>
      <c r="BK198">
        <v>0</v>
      </c>
      <c r="BL198">
        <v>0</v>
      </c>
      <c r="BM198">
        <v>0</v>
      </c>
      <c r="BN198">
        <v>13</v>
      </c>
      <c r="BO198">
        <v>45</v>
      </c>
      <c r="BP198">
        <v>38</v>
      </c>
      <c r="BQ198">
        <v>0</v>
      </c>
      <c r="BR198">
        <v>2</v>
      </c>
      <c r="BS198">
        <v>0</v>
      </c>
      <c r="BT198">
        <v>0</v>
      </c>
      <c r="BU198">
        <v>1</v>
      </c>
      <c r="BV198">
        <v>2</v>
      </c>
      <c r="BW198">
        <v>0</v>
      </c>
      <c r="BX198">
        <v>1</v>
      </c>
      <c r="BY198">
        <v>1</v>
      </c>
      <c r="BZ198">
        <v>45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1</v>
      </c>
      <c r="CN198">
        <v>0</v>
      </c>
      <c r="CO198">
        <v>1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2</v>
      </c>
      <c r="CZ198">
        <v>2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2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32</v>
      </c>
      <c r="DX198">
        <v>6</v>
      </c>
      <c r="DY198">
        <v>11</v>
      </c>
      <c r="DZ198">
        <v>0</v>
      </c>
      <c r="EA198">
        <v>1</v>
      </c>
      <c r="EB198">
        <v>12</v>
      </c>
      <c r="EC198">
        <v>0</v>
      </c>
      <c r="ED198">
        <v>0</v>
      </c>
      <c r="EE198">
        <v>2</v>
      </c>
      <c r="EF198">
        <v>0</v>
      </c>
      <c r="EG198">
        <v>0</v>
      </c>
      <c r="EH198">
        <v>32</v>
      </c>
      <c r="EI198">
        <v>1</v>
      </c>
      <c r="EJ198">
        <v>0</v>
      </c>
      <c r="EK198">
        <v>1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1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1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1</v>
      </c>
      <c r="FP198">
        <v>1</v>
      </c>
    </row>
    <row r="199" spans="1:172" ht="14.25">
      <c r="A199">
        <v>194</v>
      </c>
      <c r="B199" t="str">
        <f t="shared" si="33"/>
        <v>101008</v>
      </c>
      <c r="C199" t="str">
        <f t="shared" si="34"/>
        <v>Rozprza</v>
      </c>
      <c r="D199" t="str">
        <f t="shared" si="32"/>
        <v>piotrkowski</v>
      </c>
      <c r="E199" t="str">
        <f t="shared" si="35"/>
        <v>łódzkie</v>
      </c>
      <c r="F199">
        <v>9</v>
      </c>
      <c r="G199" t="str">
        <f>"Dom Pomocy Społecznej w Łochyńsku, Łochyńsko 75A, 97-340 Rozprza"</f>
        <v>Dom Pomocy Społecznej w Łochyńsku, Łochyńsko 75A, 97-340 Rozprza</v>
      </c>
      <c r="H199">
        <v>62</v>
      </c>
      <c r="I199">
        <v>62</v>
      </c>
      <c r="J199">
        <v>0</v>
      </c>
      <c r="K199">
        <v>60</v>
      </c>
      <c r="L199">
        <v>25</v>
      </c>
      <c r="M199">
        <v>35</v>
      </c>
      <c r="N199">
        <v>35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35</v>
      </c>
      <c r="Z199">
        <v>0</v>
      </c>
      <c r="AA199">
        <v>0</v>
      </c>
      <c r="AB199">
        <v>35</v>
      </c>
      <c r="AC199">
        <v>7</v>
      </c>
      <c r="AD199">
        <v>28</v>
      </c>
      <c r="AE199">
        <v>5</v>
      </c>
      <c r="AF199">
        <v>3</v>
      </c>
      <c r="AG199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1</v>
      </c>
      <c r="AO199">
        <v>0</v>
      </c>
      <c r="AP199">
        <v>5</v>
      </c>
      <c r="AQ199">
        <v>1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1</v>
      </c>
      <c r="BC199">
        <v>2</v>
      </c>
      <c r="BD199">
        <v>1</v>
      </c>
      <c r="BE199">
        <v>0</v>
      </c>
      <c r="BF199">
        <v>0</v>
      </c>
      <c r="BG199">
        <v>0</v>
      </c>
      <c r="BH199">
        <v>0</v>
      </c>
      <c r="BI199">
        <v>1</v>
      </c>
      <c r="BJ199">
        <v>0</v>
      </c>
      <c r="BK199">
        <v>0</v>
      </c>
      <c r="BL199">
        <v>0</v>
      </c>
      <c r="BM199">
        <v>0</v>
      </c>
      <c r="BN199">
        <v>2</v>
      </c>
      <c r="BO199">
        <v>18</v>
      </c>
      <c r="BP199">
        <v>2</v>
      </c>
      <c r="BQ199">
        <v>3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12</v>
      </c>
      <c r="BZ199">
        <v>18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2</v>
      </c>
      <c r="DL199">
        <v>1</v>
      </c>
      <c r="DM199">
        <v>0</v>
      </c>
      <c r="DN199">
        <v>0</v>
      </c>
      <c r="DO199">
        <v>0</v>
      </c>
      <c r="DP199">
        <v>1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2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</row>
    <row r="200" spans="1:172" ht="14.25">
      <c r="A200">
        <v>195</v>
      </c>
      <c r="B200" t="str">
        <f aca="true" t="shared" si="36" ref="B200:B210">"101009"</f>
        <v>101009</v>
      </c>
      <c r="C200" t="str">
        <f aca="true" t="shared" si="37" ref="C200:C210">"Sulejów"</f>
        <v>Sulejów</v>
      </c>
      <c r="D200" t="str">
        <f t="shared" si="32"/>
        <v>piotrkowski</v>
      </c>
      <c r="E200" t="str">
        <f t="shared" si="35"/>
        <v>łódzkie</v>
      </c>
      <c r="F200">
        <v>1</v>
      </c>
      <c r="G200" t="str">
        <f>"Zespół Szkół Ponadgimnazjalnych, ul. Milejowska 21, 97-330 Sulejów"</f>
        <v>Zespół Szkół Ponadgimnazjalnych, ul. Milejowska 21, 97-330 Sulejów</v>
      </c>
      <c r="H200">
        <v>1449</v>
      </c>
      <c r="I200">
        <v>1449</v>
      </c>
      <c r="J200">
        <v>0</v>
      </c>
      <c r="K200">
        <v>1018</v>
      </c>
      <c r="L200">
        <v>714</v>
      </c>
      <c r="M200">
        <v>304</v>
      </c>
      <c r="N200">
        <v>304</v>
      </c>
      <c r="O200">
        <v>0</v>
      </c>
      <c r="P200">
        <v>0</v>
      </c>
      <c r="Q200">
        <v>4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304</v>
      </c>
      <c r="Z200">
        <v>0</v>
      </c>
      <c r="AA200">
        <v>0</v>
      </c>
      <c r="AB200">
        <v>304</v>
      </c>
      <c r="AC200">
        <v>13</v>
      </c>
      <c r="AD200">
        <v>291</v>
      </c>
      <c r="AE200">
        <v>11</v>
      </c>
      <c r="AF200">
        <v>7</v>
      </c>
      <c r="AG200">
        <v>0</v>
      </c>
      <c r="AH200">
        <v>1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3</v>
      </c>
      <c r="AP200">
        <v>11</v>
      </c>
      <c r="AQ200">
        <v>3</v>
      </c>
      <c r="AR200">
        <v>3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3</v>
      </c>
      <c r="BC200">
        <v>18</v>
      </c>
      <c r="BD200">
        <v>10</v>
      </c>
      <c r="BE200">
        <v>1</v>
      </c>
      <c r="BF200">
        <v>0</v>
      </c>
      <c r="BG200">
        <v>0</v>
      </c>
      <c r="BH200">
        <v>3</v>
      </c>
      <c r="BI200">
        <v>0</v>
      </c>
      <c r="BJ200">
        <v>0</v>
      </c>
      <c r="BK200">
        <v>0</v>
      </c>
      <c r="BL200">
        <v>1</v>
      </c>
      <c r="BM200">
        <v>3</v>
      </c>
      <c r="BN200">
        <v>18</v>
      </c>
      <c r="BO200">
        <v>159</v>
      </c>
      <c r="BP200">
        <v>124</v>
      </c>
      <c r="BQ200">
        <v>6</v>
      </c>
      <c r="BR200">
        <v>4</v>
      </c>
      <c r="BS200">
        <v>3</v>
      </c>
      <c r="BT200">
        <v>2</v>
      </c>
      <c r="BU200">
        <v>8</v>
      </c>
      <c r="BV200">
        <v>1</v>
      </c>
      <c r="BW200">
        <v>1</v>
      </c>
      <c r="BX200">
        <v>9</v>
      </c>
      <c r="BY200">
        <v>1</v>
      </c>
      <c r="BZ200">
        <v>159</v>
      </c>
      <c r="CA200">
        <v>6</v>
      </c>
      <c r="CB200">
        <v>1</v>
      </c>
      <c r="CC200">
        <v>0</v>
      </c>
      <c r="CD200">
        <v>1</v>
      </c>
      <c r="CE200">
        <v>0</v>
      </c>
      <c r="CF200">
        <v>0</v>
      </c>
      <c r="CG200">
        <v>3</v>
      </c>
      <c r="CH200">
        <v>1</v>
      </c>
      <c r="CI200">
        <v>0</v>
      </c>
      <c r="CJ200">
        <v>0</v>
      </c>
      <c r="CK200">
        <v>0</v>
      </c>
      <c r="CL200">
        <v>6</v>
      </c>
      <c r="CM200">
        <v>3</v>
      </c>
      <c r="CN200">
        <v>1</v>
      </c>
      <c r="CO200">
        <v>0</v>
      </c>
      <c r="CP200">
        <v>1</v>
      </c>
      <c r="CQ200">
        <v>0</v>
      </c>
      <c r="CR200">
        <v>0</v>
      </c>
      <c r="CS200">
        <v>1</v>
      </c>
      <c r="CT200">
        <v>0</v>
      </c>
      <c r="CU200">
        <v>0</v>
      </c>
      <c r="CV200">
        <v>0</v>
      </c>
      <c r="CW200">
        <v>0</v>
      </c>
      <c r="CX200">
        <v>3</v>
      </c>
      <c r="CY200">
        <v>12</v>
      </c>
      <c r="CZ200">
        <v>6</v>
      </c>
      <c r="DA200">
        <v>1</v>
      </c>
      <c r="DB200">
        <v>1</v>
      </c>
      <c r="DC200">
        <v>1</v>
      </c>
      <c r="DD200">
        <v>0</v>
      </c>
      <c r="DE200">
        <v>0</v>
      </c>
      <c r="DF200">
        <v>1</v>
      </c>
      <c r="DG200">
        <v>0</v>
      </c>
      <c r="DH200">
        <v>0</v>
      </c>
      <c r="DI200">
        <v>2</v>
      </c>
      <c r="DJ200">
        <v>12</v>
      </c>
      <c r="DK200">
        <v>54</v>
      </c>
      <c r="DL200">
        <v>37</v>
      </c>
      <c r="DM200">
        <v>14</v>
      </c>
      <c r="DN200">
        <v>0</v>
      </c>
      <c r="DO200">
        <v>1</v>
      </c>
      <c r="DP200">
        <v>0</v>
      </c>
      <c r="DQ200">
        <v>0</v>
      </c>
      <c r="DR200">
        <v>0</v>
      </c>
      <c r="DS200">
        <v>0</v>
      </c>
      <c r="DT200">
        <v>1</v>
      </c>
      <c r="DU200">
        <v>1</v>
      </c>
      <c r="DV200">
        <v>54</v>
      </c>
      <c r="DW200">
        <v>20</v>
      </c>
      <c r="DX200">
        <v>2</v>
      </c>
      <c r="DY200">
        <v>3</v>
      </c>
      <c r="DZ200">
        <v>0</v>
      </c>
      <c r="EA200">
        <v>0</v>
      </c>
      <c r="EB200">
        <v>3</v>
      </c>
      <c r="EC200">
        <v>0</v>
      </c>
      <c r="ED200">
        <v>0</v>
      </c>
      <c r="EE200">
        <v>2</v>
      </c>
      <c r="EF200">
        <v>0</v>
      </c>
      <c r="EG200">
        <v>10</v>
      </c>
      <c r="EH200">
        <v>20</v>
      </c>
      <c r="EI200">
        <v>3</v>
      </c>
      <c r="EJ200">
        <v>0</v>
      </c>
      <c r="EK200">
        <v>2</v>
      </c>
      <c r="EL200">
        <v>0</v>
      </c>
      <c r="EM200">
        <v>0</v>
      </c>
      <c r="EN200">
        <v>0</v>
      </c>
      <c r="EO200">
        <v>0</v>
      </c>
      <c r="EP200">
        <v>1</v>
      </c>
      <c r="EQ200">
        <v>0</v>
      </c>
      <c r="ER200">
        <v>3</v>
      </c>
      <c r="ES200">
        <v>1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1</v>
      </c>
      <c r="FD200">
        <v>1</v>
      </c>
      <c r="FE200">
        <v>1</v>
      </c>
      <c r="FF200">
        <v>1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1</v>
      </c>
    </row>
    <row r="201" spans="1:172" ht="14.25">
      <c r="A201">
        <v>196</v>
      </c>
      <c r="B201" t="str">
        <f t="shared" si="36"/>
        <v>101009</v>
      </c>
      <c r="C201" t="str">
        <f t="shared" si="37"/>
        <v>Sulejów</v>
      </c>
      <c r="D201" t="str">
        <f t="shared" si="32"/>
        <v>piotrkowski</v>
      </c>
      <c r="E201" t="str">
        <f t="shared" si="35"/>
        <v>łódzkie</v>
      </c>
      <c r="F201">
        <v>2</v>
      </c>
      <c r="G201" t="str">
        <f>"Szkoła Podstawowa Nr 1, ul. Konecka 45, 97-330 Sulejów"</f>
        <v>Szkoła Podstawowa Nr 1, ul. Konecka 45, 97-330 Sulejów</v>
      </c>
      <c r="H201">
        <v>1766</v>
      </c>
      <c r="I201">
        <v>1766</v>
      </c>
      <c r="J201">
        <v>0</v>
      </c>
      <c r="K201">
        <v>1260</v>
      </c>
      <c r="L201">
        <v>934</v>
      </c>
      <c r="M201">
        <v>326</v>
      </c>
      <c r="N201">
        <v>326</v>
      </c>
      <c r="O201">
        <v>0</v>
      </c>
      <c r="P201">
        <v>0</v>
      </c>
      <c r="Q201">
        <v>2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325</v>
      </c>
      <c r="Z201">
        <v>0</v>
      </c>
      <c r="AA201">
        <v>0</v>
      </c>
      <c r="AB201">
        <v>325</v>
      </c>
      <c r="AC201">
        <v>15</v>
      </c>
      <c r="AD201">
        <v>310</v>
      </c>
      <c r="AE201">
        <v>4</v>
      </c>
      <c r="AF201">
        <v>1</v>
      </c>
      <c r="AG201">
        <v>0</v>
      </c>
      <c r="AH201">
        <v>0</v>
      </c>
      <c r="AI201">
        <v>0</v>
      </c>
      <c r="AJ201">
        <v>2</v>
      </c>
      <c r="AK201">
        <v>0</v>
      </c>
      <c r="AL201">
        <v>0</v>
      </c>
      <c r="AM201">
        <v>0</v>
      </c>
      <c r="AN201">
        <v>0</v>
      </c>
      <c r="AO201">
        <v>1</v>
      </c>
      <c r="AP201">
        <v>4</v>
      </c>
      <c r="AQ201">
        <v>2</v>
      </c>
      <c r="AR201">
        <v>0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1</v>
      </c>
      <c r="BA201">
        <v>0</v>
      </c>
      <c r="BB201">
        <v>2</v>
      </c>
      <c r="BC201">
        <v>22</v>
      </c>
      <c r="BD201">
        <v>8</v>
      </c>
      <c r="BE201">
        <v>1</v>
      </c>
      <c r="BF201">
        <v>0</v>
      </c>
      <c r="BG201">
        <v>1</v>
      </c>
      <c r="BH201">
        <v>4</v>
      </c>
      <c r="BI201">
        <v>0</v>
      </c>
      <c r="BJ201">
        <v>1</v>
      </c>
      <c r="BK201">
        <v>2</v>
      </c>
      <c r="BL201">
        <v>1</v>
      </c>
      <c r="BM201">
        <v>4</v>
      </c>
      <c r="BN201">
        <v>22</v>
      </c>
      <c r="BO201">
        <v>195</v>
      </c>
      <c r="BP201">
        <v>148</v>
      </c>
      <c r="BQ201">
        <v>6</v>
      </c>
      <c r="BR201">
        <v>6</v>
      </c>
      <c r="BS201">
        <v>1</v>
      </c>
      <c r="BT201">
        <v>0</v>
      </c>
      <c r="BU201">
        <v>23</v>
      </c>
      <c r="BV201">
        <v>0</v>
      </c>
      <c r="BW201">
        <v>1</v>
      </c>
      <c r="BX201">
        <v>9</v>
      </c>
      <c r="BY201">
        <v>1</v>
      </c>
      <c r="BZ201">
        <v>195</v>
      </c>
      <c r="CA201">
        <v>2</v>
      </c>
      <c r="CB201">
        <v>1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>
        <v>0</v>
      </c>
      <c r="CL201">
        <v>2</v>
      </c>
      <c r="CM201">
        <v>4</v>
      </c>
      <c r="CN201">
        <v>1</v>
      </c>
      <c r="CO201">
        <v>0</v>
      </c>
      <c r="CP201">
        <v>0</v>
      </c>
      <c r="CQ201">
        <v>0</v>
      </c>
      <c r="CR201">
        <v>0</v>
      </c>
      <c r="CS201">
        <v>2</v>
      </c>
      <c r="CT201">
        <v>1</v>
      </c>
      <c r="CU201">
        <v>0</v>
      </c>
      <c r="CV201">
        <v>0</v>
      </c>
      <c r="CW201">
        <v>0</v>
      </c>
      <c r="CX201">
        <v>4</v>
      </c>
      <c r="CY201">
        <v>12</v>
      </c>
      <c r="CZ201">
        <v>9</v>
      </c>
      <c r="DA201">
        <v>1</v>
      </c>
      <c r="DB201">
        <v>0</v>
      </c>
      <c r="DC201">
        <v>0</v>
      </c>
      <c r="DD201">
        <v>0</v>
      </c>
      <c r="DE201">
        <v>0</v>
      </c>
      <c r="DF201">
        <v>1</v>
      </c>
      <c r="DG201">
        <v>1</v>
      </c>
      <c r="DH201">
        <v>0</v>
      </c>
      <c r="DI201">
        <v>0</v>
      </c>
      <c r="DJ201">
        <v>12</v>
      </c>
      <c r="DK201">
        <v>52</v>
      </c>
      <c r="DL201">
        <v>33</v>
      </c>
      <c r="DM201">
        <v>10</v>
      </c>
      <c r="DN201">
        <v>1</v>
      </c>
      <c r="DO201">
        <v>2</v>
      </c>
      <c r="DP201">
        <v>2</v>
      </c>
      <c r="DQ201">
        <v>1</v>
      </c>
      <c r="DR201">
        <v>0</v>
      </c>
      <c r="DS201">
        <v>1</v>
      </c>
      <c r="DT201">
        <v>1</v>
      </c>
      <c r="DU201">
        <v>1</v>
      </c>
      <c r="DV201">
        <v>52</v>
      </c>
      <c r="DW201">
        <v>13</v>
      </c>
      <c r="DX201">
        <v>4</v>
      </c>
      <c r="DY201">
        <v>1</v>
      </c>
      <c r="DZ201">
        <v>0</v>
      </c>
      <c r="EA201">
        <v>0</v>
      </c>
      <c r="EB201">
        <v>5</v>
      </c>
      <c r="EC201">
        <v>0</v>
      </c>
      <c r="ED201">
        <v>0</v>
      </c>
      <c r="EE201">
        <v>0</v>
      </c>
      <c r="EF201">
        <v>0</v>
      </c>
      <c r="EG201">
        <v>3</v>
      </c>
      <c r="EH201">
        <v>13</v>
      </c>
      <c r="EI201">
        <v>1</v>
      </c>
      <c r="EJ201">
        <v>1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1</v>
      </c>
      <c r="ES201">
        <v>0</v>
      </c>
      <c r="ET201">
        <v>0</v>
      </c>
      <c r="EU201">
        <v>0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3</v>
      </c>
      <c r="FF201">
        <v>1</v>
      </c>
      <c r="FG201">
        <v>1</v>
      </c>
      <c r="FH201">
        <v>1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3</v>
      </c>
    </row>
    <row r="202" spans="1:172" ht="14.25">
      <c r="A202">
        <v>197</v>
      </c>
      <c r="B202" t="str">
        <f t="shared" si="36"/>
        <v>101009</v>
      </c>
      <c r="C202" t="str">
        <f t="shared" si="37"/>
        <v>Sulejów</v>
      </c>
      <c r="D202" t="str">
        <f t="shared" si="32"/>
        <v>piotrkowski</v>
      </c>
      <c r="E202" t="str">
        <f t="shared" si="35"/>
        <v>łódzkie</v>
      </c>
      <c r="F202">
        <v>3</v>
      </c>
      <c r="G202" t="str">
        <f>"Szkoła Podstawowa, Klementynów 1, 97-330 Sulejów"</f>
        <v>Szkoła Podstawowa, Klementynów 1, 97-330 Sulejów</v>
      </c>
      <c r="H202">
        <v>845</v>
      </c>
      <c r="I202">
        <v>845</v>
      </c>
      <c r="J202">
        <v>0</v>
      </c>
      <c r="K202">
        <v>600</v>
      </c>
      <c r="L202">
        <v>506</v>
      </c>
      <c r="M202">
        <v>94</v>
      </c>
      <c r="N202">
        <v>94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94</v>
      </c>
      <c r="Z202">
        <v>0</v>
      </c>
      <c r="AA202">
        <v>0</v>
      </c>
      <c r="AB202">
        <v>94</v>
      </c>
      <c r="AC202">
        <v>3</v>
      </c>
      <c r="AD202">
        <v>91</v>
      </c>
      <c r="AE202">
        <v>10</v>
      </c>
      <c r="AF202">
        <v>0</v>
      </c>
      <c r="AG202">
        <v>1</v>
      </c>
      <c r="AH202">
        <v>0</v>
      </c>
      <c r="AI202">
        <v>0</v>
      </c>
      <c r="AJ202">
        <v>1</v>
      </c>
      <c r="AK202">
        <v>0</v>
      </c>
      <c r="AL202">
        <v>2</v>
      </c>
      <c r="AM202">
        <v>0</v>
      </c>
      <c r="AN202">
        <v>1</v>
      </c>
      <c r="AO202">
        <v>5</v>
      </c>
      <c r="AP202">
        <v>10</v>
      </c>
      <c r="AQ202">
        <v>5</v>
      </c>
      <c r="AR202">
        <v>5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5</v>
      </c>
      <c r="BC202">
        <v>4</v>
      </c>
      <c r="BD202">
        <v>3</v>
      </c>
      <c r="BE202">
        <v>0</v>
      </c>
      <c r="BF202">
        <v>0</v>
      </c>
      <c r="BG202">
        <v>0</v>
      </c>
      <c r="BH202">
        <v>1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4</v>
      </c>
      <c r="BO202">
        <v>40</v>
      </c>
      <c r="BP202">
        <v>36</v>
      </c>
      <c r="BQ202">
        <v>1</v>
      </c>
      <c r="BR202">
        <v>0</v>
      </c>
      <c r="BS202">
        <v>1</v>
      </c>
      <c r="BT202">
        <v>0</v>
      </c>
      <c r="BU202">
        <v>0</v>
      </c>
      <c r="BV202">
        <v>0</v>
      </c>
      <c r="BW202">
        <v>0</v>
      </c>
      <c r="BX202">
        <v>2</v>
      </c>
      <c r="BY202">
        <v>0</v>
      </c>
      <c r="BZ202">
        <v>40</v>
      </c>
      <c r="CA202">
        <v>1</v>
      </c>
      <c r="CB202">
        <v>1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1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8</v>
      </c>
      <c r="CZ202">
        <v>8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8</v>
      </c>
      <c r="DK202">
        <v>9</v>
      </c>
      <c r="DL202">
        <v>6</v>
      </c>
      <c r="DM202">
        <v>1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2</v>
      </c>
      <c r="DT202">
        <v>0</v>
      </c>
      <c r="DU202">
        <v>0</v>
      </c>
      <c r="DV202">
        <v>9</v>
      </c>
      <c r="DW202">
        <v>14</v>
      </c>
      <c r="DX202">
        <v>0</v>
      </c>
      <c r="DY202">
        <v>3</v>
      </c>
      <c r="DZ202">
        <v>0</v>
      </c>
      <c r="EA202">
        <v>0</v>
      </c>
      <c r="EB202">
        <v>10</v>
      </c>
      <c r="EC202">
        <v>0</v>
      </c>
      <c r="ED202">
        <v>0</v>
      </c>
      <c r="EE202">
        <v>0</v>
      </c>
      <c r="EF202">
        <v>1</v>
      </c>
      <c r="EG202">
        <v>0</v>
      </c>
      <c r="EH202">
        <v>14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</row>
    <row r="203" spans="1:172" ht="14.25">
      <c r="A203">
        <v>198</v>
      </c>
      <c r="B203" t="str">
        <f t="shared" si="36"/>
        <v>101009</v>
      </c>
      <c r="C203" t="str">
        <f t="shared" si="37"/>
        <v>Sulejów</v>
      </c>
      <c r="D203" t="str">
        <f t="shared" si="32"/>
        <v>piotrkowski</v>
      </c>
      <c r="E203" t="str">
        <f t="shared" si="35"/>
        <v>łódzkie</v>
      </c>
      <c r="F203">
        <v>4</v>
      </c>
      <c r="G203" t="str">
        <f>"Szkoła Podstawowa, Łęczno 12, 97-330 Sulejów"</f>
        <v>Szkoła Podstawowa, Łęczno 12, 97-330 Sulejów</v>
      </c>
      <c r="H203">
        <v>980</v>
      </c>
      <c r="I203">
        <v>980</v>
      </c>
      <c r="J203">
        <v>0</v>
      </c>
      <c r="K203">
        <v>690</v>
      </c>
      <c r="L203">
        <v>561</v>
      </c>
      <c r="M203">
        <v>129</v>
      </c>
      <c r="N203">
        <v>129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129</v>
      </c>
      <c r="Z203">
        <v>0</v>
      </c>
      <c r="AA203">
        <v>0</v>
      </c>
      <c r="AB203">
        <v>129</v>
      </c>
      <c r="AC203">
        <v>9</v>
      </c>
      <c r="AD203">
        <v>120</v>
      </c>
      <c r="AE203">
        <v>8</v>
      </c>
      <c r="AF203">
        <v>5</v>
      </c>
      <c r="AG203">
        <v>0</v>
      </c>
      <c r="AH203">
        <v>1</v>
      </c>
      <c r="AI203">
        <v>0</v>
      </c>
      <c r="AJ203">
        <v>0</v>
      </c>
      <c r="AK203">
        <v>1</v>
      </c>
      <c r="AL203">
        <v>0</v>
      </c>
      <c r="AM203">
        <v>1</v>
      </c>
      <c r="AN203">
        <v>0</v>
      </c>
      <c r="AO203">
        <v>0</v>
      </c>
      <c r="AP203">
        <v>8</v>
      </c>
      <c r="AQ203">
        <v>2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1</v>
      </c>
      <c r="AY203">
        <v>1</v>
      </c>
      <c r="AZ203">
        <v>0</v>
      </c>
      <c r="BA203">
        <v>0</v>
      </c>
      <c r="BB203">
        <v>2</v>
      </c>
      <c r="BC203">
        <v>15</v>
      </c>
      <c r="BD203">
        <v>2</v>
      </c>
      <c r="BE203">
        <v>1</v>
      </c>
      <c r="BF203">
        <v>0</v>
      </c>
      <c r="BG203">
        <v>0</v>
      </c>
      <c r="BH203">
        <v>12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15</v>
      </c>
      <c r="BO203">
        <v>67</v>
      </c>
      <c r="BP203">
        <v>57</v>
      </c>
      <c r="BQ203">
        <v>1</v>
      </c>
      <c r="BR203">
        <v>0</v>
      </c>
      <c r="BS203">
        <v>1</v>
      </c>
      <c r="BT203">
        <v>2</v>
      </c>
      <c r="BU203">
        <v>5</v>
      </c>
      <c r="BV203">
        <v>0</v>
      </c>
      <c r="BW203">
        <v>0</v>
      </c>
      <c r="BX203">
        <v>0</v>
      </c>
      <c r="BY203">
        <v>1</v>
      </c>
      <c r="BZ203">
        <v>67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1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15</v>
      </c>
      <c r="DL203">
        <v>9</v>
      </c>
      <c r="DM203">
        <v>4</v>
      </c>
      <c r="DN203">
        <v>1</v>
      </c>
      <c r="DO203">
        <v>0</v>
      </c>
      <c r="DP203">
        <v>0</v>
      </c>
      <c r="DQ203">
        <v>1</v>
      </c>
      <c r="DR203">
        <v>0</v>
      </c>
      <c r="DS203">
        <v>0</v>
      </c>
      <c r="DT203">
        <v>0</v>
      </c>
      <c r="DU203">
        <v>0</v>
      </c>
      <c r="DV203">
        <v>15</v>
      </c>
      <c r="DW203">
        <v>11</v>
      </c>
      <c r="DX203">
        <v>1</v>
      </c>
      <c r="DY203">
        <v>4</v>
      </c>
      <c r="DZ203">
        <v>0</v>
      </c>
      <c r="EA203">
        <v>1</v>
      </c>
      <c r="EB203">
        <v>4</v>
      </c>
      <c r="EC203">
        <v>0</v>
      </c>
      <c r="ED203">
        <v>0</v>
      </c>
      <c r="EE203">
        <v>0</v>
      </c>
      <c r="EF203">
        <v>0</v>
      </c>
      <c r="EG203">
        <v>1</v>
      </c>
      <c r="EH203">
        <v>11</v>
      </c>
      <c r="EI203">
        <v>1</v>
      </c>
      <c r="EJ203">
        <v>0</v>
      </c>
      <c r="EK203">
        <v>1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1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</row>
    <row r="204" spans="1:172" ht="14.25">
      <c r="A204">
        <v>199</v>
      </c>
      <c r="B204" t="str">
        <f t="shared" si="36"/>
        <v>101009</v>
      </c>
      <c r="C204" t="str">
        <f t="shared" si="37"/>
        <v>Sulejów</v>
      </c>
      <c r="D204" t="str">
        <f t="shared" si="32"/>
        <v>piotrkowski</v>
      </c>
      <c r="E204" t="str">
        <f t="shared" si="35"/>
        <v>łódzkie</v>
      </c>
      <c r="F204">
        <v>5</v>
      </c>
      <c r="G204" t="str">
        <f>"Remiza OSP, Sulejowska 33, Przygłów, 97-330 Sulejów"</f>
        <v>Remiza OSP, Sulejowska 33, Przygłów, 97-330 Sulejów</v>
      </c>
      <c r="H204">
        <v>864</v>
      </c>
      <c r="I204">
        <v>864</v>
      </c>
      <c r="J204">
        <v>0</v>
      </c>
      <c r="K204">
        <v>610</v>
      </c>
      <c r="L204">
        <v>400</v>
      </c>
      <c r="M204">
        <v>210</v>
      </c>
      <c r="N204">
        <v>210</v>
      </c>
      <c r="O204">
        <v>0</v>
      </c>
      <c r="P204">
        <v>2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210</v>
      </c>
      <c r="Z204">
        <v>0</v>
      </c>
      <c r="AA204">
        <v>0</v>
      </c>
      <c r="AB204">
        <v>210</v>
      </c>
      <c r="AC204">
        <v>7</v>
      </c>
      <c r="AD204">
        <v>203</v>
      </c>
      <c r="AE204">
        <v>6</v>
      </c>
      <c r="AF204">
        <v>3</v>
      </c>
      <c r="AG204">
        <v>1</v>
      </c>
      <c r="AH204">
        <v>0</v>
      </c>
      <c r="AI204">
        <v>1</v>
      </c>
      <c r="AJ204">
        <v>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6</v>
      </c>
      <c r="AQ204">
        <v>3</v>
      </c>
      <c r="AR204">
        <v>3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3</v>
      </c>
      <c r="BC204">
        <v>21</v>
      </c>
      <c r="BD204">
        <v>0</v>
      </c>
      <c r="BE204">
        <v>3</v>
      </c>
      <c r="BF204">
        <v>0</v>
      </c>
      <c r="BG204">
        <v>0</v>
      </c>
      <c r="BH204">
        <v>10</v>
      </c>
      <c r="BI204">
        <v>3</v>
      </c>
      <c r="BJ204">
        <v>0</v>
      </c>
      <c r="BK204">
        <v>0</v>
      </c>
      <c r="BL204">
        <v>0</v>
      </c>
      <c r="BM204">
        <v>5</v>
      </c>
      <c r="BN204">
        <v>21</v>
      </c>
      <c r="BO204">
        <v>105</v>
      </c>
      <c r="BP204">
        <v>86</v>
      </c>
      <c r="BQ204">
        <v>10</v>
      </c>
      <c r="BR204">
        <v>0</v>
      </c>
      <c r="BS204">
        <v>3</v>
      </c>
      <c r="BT204">
        <v>0</v>
      </c>
      <c r="BU204">
        <v>3</v>
      </c>
      <c r="BV204">
        <v>1</v>
      </c>
      <c r="BW204">
        <v>2</v>
      </c>
      <c r="BX204">
        <v>0</v>
      </c>
      <c r="BY204">
        <v>0</v>
      </c>
      <c r="BZ204">
        <v>105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5</v>
      </c>
      <c r="CN204">
        <v>3</v>
      </c>
      <c r="CO204">
        <v>2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5</v>
      </c>
      <c r="CY204">
        <v>8</v>
      </c>
      <c r="CZ204">
        <v>3</v>
      </c>
      <c r="DA204">
        <v>2</v>
      </c>
      <c r="DB204">
        <v>0</v>
      </c>
      <c r="DC204">
        <v>1</v>
      </c>
      <c r="DD204">
        <v>0</v>
      </c>
      <c r="DE204">
        <v>0</v>
      </c>
      <c r="DF204">
        <v>0</v>
      </c>
      <c r="DG204">
        <v>0</v>
      </c>
      <c r="DH204">
        <v>2</v>
      </c>
      <c r="DI204">
        <v>0</v>
      </c>
      <c r="DJ204">
        <v>8</v>
      </c>
      <c r="DK204">
        <v>26</v>
      </c>
      <c r="DL204">
        <v>22</v>
      </c>
      <c r="DM204">
        <v>3</v>
      </c>
      <c r="DN204">
        <v>0</v>
      </c>
      <c r="DO204">
        <v>0</v>
      </c>
      <c r="DP204">
        <v>1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26</v>
      </c>
      <c r="DW204">
        <v>24</v>
      </c>
      <c r="DX204">
        <v>6</v>
      </c>
      <c r="DY204">
        <v>4</v>
      </c>
      <c r="DZ204">
        <v>0</v>
      </c>
      <c r="EA204">
        <v>1</v>
      </c>
      <c r="EB204">
        <v>6</v>
      </c>
      <c r="EC204">
        <v>2</v>
      </c>
      <c r="ED204">
        <v>2</v>
      </c>
      <c r="EE204">
        <v>0</v>
      </c>
      <c r="EF204">
        <v>2</v>
      </c>
      <c r="EG204">
        <v>1</v>
      </c>
      <c r="EH204">
        <v>24</v>
      </c>
      <c r="EI204">
        <v>1</v>
      </c>
      <c r="EJ204">
        <v>0</v>
      </c>
      <c r="EK204">
        <v>1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1</v>
      </c>
      <c r="ES204">
        <v>1</v>
      </c>
      <c r="ET204">
        <v>0</v>
      </c>
      <c r="EU204">
        <v>0</v>
      </c>
      <c r="EV204">
        <v>0</v>
      </c>
      <c r="EW204">
        <v>1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1</v>
      </c>
      <c r="FE204">
        <v>3</v>
      </c>
      <c r="FF204">
        <v>1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1</v>
      </c>
      <c r="FO204">
        <v>1</v>
      </c>
      <c r="FP204">
        <v>3</v>
      </c>
    </row>
    <row r="205" spans="1:172" ht="14.25">
      <c r="A205">
        <v>200</v>
      </c>
      <c r="B205" t="str">
        <f t="shared" si="36"/>
        <v>101009</v>
      </c>
      <c r="C205" t="str">
        <f t="shared" si="37"/>
        <v>Sulejów</v>
      </c>
      <c r="D205" t="str">
        <f t="shared" si="32"/>
        <v>piotrkowski</v>
      </c>
      <c r="E205" t="str">
        <f t="shared" si="35"/>
        <v>łódzkie</v>
      </c>
      <c r="F205">
        <v>6</v>
      </c>
      <c r="G205" t="str">
        <f>"Remiza OSP, ul. Widok 94, Barkowice, 97-330 Sulejów"</f>
        <v>Remiza OSP, ul. Widok 94, Barkowice, 97-330 Sulejów</v>
      </c>
      <c r="H205">
        <v>852</v>
      </c>
      <c r="I205">
        <v>852</v>
      </c>
      <c r="J205">
        <v>0</v>
      </c>
      <c r="K205">
        <v>600</v>
      </c>
      <c r="L205">
        <v>414</v>
      </c>
      <c r="M205">
        <v>186</v>
      </c>
      <c r="N205">
        <v>186</v>
      </c>
      <c r="O205">
        <v>0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186</v>
      </c>
      <c r="Z205">
        <v>0</v>
      </c>
      <c r="AA205">
        <v>0</v>
      </c>
      <c r="AB205">
        <v>186</v>
      </c>
      <c r="AC205">
        <v>10</v>
      </c>
      <c r="AD205">
        <v>176</v>
      </c>
      <c r="AE205">
        <v>9</v>
      </c>
      <c r="AF205">
        <v>3</v>
      </c>
      <c r="AG205">
        <v>1</v>
      </c>
      <c r="AH205">
        <v>2</v>
      </c>
      <c r="AI205">
        <v>0</v>
      </c>
      <c r="AJ205">
        <v>0</v>
      </c>
      <c r="AK205">
        <v>1</v>
      </c>
      <c r="AL205">
        <v>0</v>
      </c>
      <c r="AM205">
        <v>1</v>
      </c>
      <c r="AN205">
        <v>1</v>
      </c>
      <c r="AO205">
        <v>0</v>
      </c>
      <c r="AP205">
        <v>9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22</v>
      </c>
      <c r="BD205">
        <v>4</v>
      </c>
      <c r="BE205">
        <v>1</v>
      </c>
      <c r="BF205">
        <v>1</v>
      </c>
      <c r="BG205">
        <v>0</v>
      </c>
      <c r="BH205">
        <v>7</v>
      </c>
      <c r="BI205">
        <v>3</v>
      </c>
      <c r="BJ205">
        <v>1</v>
      </c>
      <c r="BK205">
        <v>0</v>
      </c>
      <c r="BL205">
        <v>0</v>
      </c>
      <c r="BM205">
        <v>5</v>
      </c>
      <c r="BN205">
        <v>22</v>
      </c>
      <c r="BO205">
        <v>71</v>
      </c>
      <c r="BP205">
        <v>59</v>
      </c>
      <c r="BQ205">
        <v>5</v>
      </c>
      <c r="BR205">
        <v>2</v>
      </c>
      <c r="BS205">
        <v>1</v>
      </c>
      <c r="BT205">
        <v>0</v>
      </c>
      <c r="BU205">
        <v>0</v>
      </c>
      <c r="BV205">
        <v>2</v>
      </c>
      <c r="BW205">
        <v>0</v>
      </c>
      <c r="BX205">
        <v>2</v>
      </c>
      <c r="BY205">
        <v>0</v>
      </c>
      <c r="BZ205">
        <v>71</v>
      </c>
      <c r="CA205">
        <v>3</v>
      </c>
      <c r="CB205">
        <v>1</v>
      </c>
      <c r="CC205">
        <v>1</v>
      </c>
      <c r="CD205">
        <v>0</v>
      </c>
      <c r="CE205">
        <v>1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3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8</v>
      </c>
      <c r="CZ205">
        <v>2</v>
      </c>
      <c r="DA205">
        <v>2</v>
      </c>
      <c r="DB205">
        <v>1</v>
      </c>
      <c r="DC205">
        <v>0</v>
      </c>
      <c r="DD205">
        <v>0</v>
      </c>
      <c r="DE205">
        <v>1</v>
      </c>
      <c r="DF205">
        <v>1</v>
      </c>
      <c r="DG205">
        <v>0</v>
      </c>
      <c r="DH205">
        <v>0</v>
      </c>
      <c r="DI205">
        <v>1</v>
      </c>
      <c r="DJ205">
        <v>8</v>
      </c>
      <c r="DK205">
        <v>36</v>
      </c>
      <c r="DL205">
        <v>29</v>
      </c>
      <c r="DM205">
        <v>5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2</v>
      </c>
      <c r="DT205">
        <v>0</v>
      </c>
      <c r="DU205">
        <v>0</v>
      </c>
      <c r="DV205">
        <v>36</v>
      </c>
      <c r="DW205">
        <v>23</v>
      </c>
      <c r="DX205">
        <v>2</v>
      </c>
      <c r="DY205">
        <v>8</v>
      </c>
      <c r="DZ205">
        <v>0</v>
      </c>
      <c r="EA205">
        <v>0</v>
      </c>
      <c r="EB205">
        <v>11</v>
      </c>
      <c r="EC205">
        <v>0</v>
      </c>
      <c r="ED205">
        <v>0</v>
      </c>
      <c r="EE205">
        <v>0</v>
      </c>
      <c r="EF205">
        <v>0</v>
      </c>
      <c r="EG205">
        <v>2</v>
      </c>
      <c r="EH205">
        <v>23</v>
      </c>
      <c r="EI205">
        <v>3</v>
      </c>
      <c r="EJ205">
        <v>0</v>
      </c>
      <c r="EK205">
        <v>2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1</v>
      </c>
      <c r="ER205">
        <v>3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1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1</v>
      </c>
      <c r="FP205">
        <v>1</v>
      </c>
    </row>
    <row r="206" spans="1:172" ht="14.25">
      <c r="A206">
        <v>201</v>
      </c>
      <c r="B206" t="str">
        <f t="shared" si="36"/>
        <v>101009</v>
      </c>
      <c r="C206" t="str">
        <f t="shared" si="37"/>
        <v>Sulejów</v>
      </c>
      <c r="D206" t="str">
        <f t="shared" si="32"/>
        <v>piotrkowski</v>
      </c>
      <c r="E206" t="str">
        <f t="shared" si="35"/>
        <v>łódzkie</v>
      </c>
      <c r="F206">
        <v>7</v>
      </c>
      <c r="G206" t="str">
        <f>"Szkoła Podstawowa im. Jana Pawła II, Witów-Kolonia 47, 97-330 Sulejów"</f>
        <v>Szkoła Podstawowa im. Jana Pawła II, Witów-Kolonia 47, 97-330 Sulejów</v>
      </c>
      <c r="H206">
        <v>1611</v>
      </c>
      <c r="I206">
        <v>1611</v>
      </c>
      <c r="J206">
        <v>0</v>
      </c>
      <c r="K206">
        <v>1130</v>
      </c>
      <c r="L206">
        <v>838</v>
      </c>
      <c r="M206">
        <v>292</v>
      </c>
      <c r="N206">
        <v>292</v>
      </c>
      <c r="O206">
        <v>0</v>
      </c>
      <c r="P206">
        <v>0</v>
      </c>
      <c r="Q206">
        <v>1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292</v>
      </c>
      <c r="Z206">
        <v>0</v>
      </c>
      <c r="AA206">
        <v>0</v>
      </c>
      <c r="AB206">
        <v>292</v>
      </c>
      <c r="AC206">
        <v>15</v>
      </c>
      <c r="AD206">
        <v>277</v>
      </c>
      <c r="AE206">
        <v>10</v>
      </c>
      <c r="AF206">
        <v>7</v>
      </c>
      <c r="AG206">
        <v>0</v>
      </c>
      <c r="AH206">
        <v>1</v>
      </c>
      <c r="AI206">
        <v>0</v>
      </c>
      <c r="AJ206">
        <v>1</v>
      </c>
      <c r="AK206">
        <v>1</v>
      </c>
      <c r="AL206">
        <v>0</v>
      </c>
      <c r="AM206">
        <v>0</v>
      </c>
      <c r="AN206">
        <v>0</v>
      </c>
      <c r="AO206">
        <v>0</v>
      </c>
      <c r="AP206">
        <v>10</v>
      </c>
      <c r="AQ206">
        <v>4</v>
      </c>
      <c r="AR206">
        <v>3</v>
      </c>
      <c r="AS206">
        <v>1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4</v>
      </c>
      <c r="BC206">
        <v>23</v>
      </c>
      <c r="BD206">
        <v>6</v>
      </c>
      <c r="BE206">
        <v>0</v>
      </c>
      <c r="BF206">
        <v>0</v>
      </c>
      <c r="BG206">
        <v>0</v>
      </c>
      <c r="BH206">
        <v>3</v>
      </c>
      <c r="BI206">
        <v>0</v>
      </c>
      <c r="BJ206">
        <v>3</v>
      </c>
      <c r="BK206">
        <v>0</v>
      </c>
      <c r="BL206">
        <v>1</v>
      </c>
      <c r="BM206">
        <v>10</v>
      </c>
      <c r="BN206">
        <v>23</v>
      </c>
      <c r="BO206">
        <v>131</v>
      </c>
      <c r="BP206">
        <v>100</v>
      </c>
      <c r="BQ206">
        <v>6</v>
      </c>
      <c r="BR206">
        <v>3</v>
      </c>
      <c r="BS206">
        <v>2</v>
      </c>
      <c r="BT206">
        <v>2</v>
      </c>
      <c r="BU206">
        <v>7</v>
      </c>
      <c r="BV206">
        <v>2</v>
      </c>
      <c r="BW206">
        <v>0</v>
      </c>
      <c r="BX206">
        <v>3</v>
      </c>
      <c r="BY206">
        <v>6</v>
      </c>
      <c r="BZ206">
        <v>131</v>
      </c>
      <c r="CA206">
        <v>1</v>
      </c>
      <c r="CB206">
        <v>1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1</v>
      </c>
      <c r="CM206">
        <v>4</v>
      </c>
      <c r="CN206">
        <v>3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1</v>
      </c>
      <c r="CV206">
        <v>0</v>
      </c>
      <c r="CW206">
        <v>0</v>
      </c>
      <c r="CX206">
        <v>4</v>
      </c>
      <c r="CY206">
        <v>18</v>
      </c>
      <c r="CZ206">
        <v>10</v>
      </c>
      <c r="DA206">
        <v>7</v>
      </c>
      <c r="DB206">
        <v>0</v>
      </c>
      <c r="DC206">
        <v>0</v>
      </c>
      <c r="DD206">
        <v>0</v>
      </c>
      <c r="DE206">
        <v>0</v>
      </c>
      <c r="DF206">
        <v>1</v>
      </c>
      <c r="DG206">
        <v>0</v>
      </c>
      <c r="DH206">
        <v>0</v>
      </c>
      <c r="DI206">
        <v>0</v>
      </c>
      <c r="DJ206">
        <v>18</v>
      </c>
      <c r="DK206">
        <v>52</v>
      </c>
      <c r="DL206">
        <v>40</v>
      </c>
      <c r="DM206">
        <v>9</v>
      </c>
      <c r="DN206">
        <v>0</v>
      </c>
      <c r="DO206">
        <v>0</v>
      </c>
      <c r="DP206">
        <v>0</v>
      </c>
      <c r="DQ206">
        <v>0</v>
      </c>
      <c r="DR206">
        <v>2</v>
      </c>
      <c r="DS206">
        <v>0</v>
      </c>
      <c r="DT206">
        <v>0</v>
      </c>
      <c r="DU206">
        <v>1</v>
      </c>
      <c r="DV206">
        <v>52</v>
      </c>
      <c r="DW206">
        <v>33</v>
      </c>
      <c r="DX206">
        <v>5</v>
      </c>
      <c r="DY206">
        <v>7</v>
      </c>
      <c r="DZ206">
        <v>0</v>
      </c>
      <c r="EA206">
        <v>0</v>
      </c>
      <c r="EB206">
        <v>12</v>
      </c>
      <c r="EC206">
        <v>6</v>
      </c>
      <c r="ED206">
        <v>1</v>
      </c>
      <c r="EE206">
        <v>2</v>
      </c>
      <c r="EF206">
        <v>0</v>
      </c>
      <c r="EG206">
        <v>0</v>
      </c>
      <c r="EH206">
        <v>33</v>
      </c>
      <c r="EI206">
        <v>1</v>
      </c>
      <c r="EJ206">
        <v>0</v>
      </c>
      <c r="EK206">
        <v>1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1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</row>
    <row r="207" spans="1:172" ht="14.25">
      <c r="A207">
        <v>202</v>
      </c>
      <c r="B207" t="str">
        <f t="shared" si="36"/>
        <v>101009</v>
      </c>
      <c r="C207" t="str">
        <f t="shared" si="37"/>
        <v>Sulejów</v>
      </c>
      <c r="D207" t="str">
        <f t="shared" si="32"/>
        <v>piotrkowski</v>
      </c>
      <c r="E207" t="str">
        <f t="shared" si="35"/>
        <v>łódzkie</v>
      </c>
      <c r="F207">
        <v>8</v>
      </c>
      <c r="G207" t="str">
        <f>"Szkoła Podstawowa, ul. Szkolna 12, Uszczyn, 97-330 Sulejów"</f>
        <v>Szkoła Podstawowa, ul. Szkolna 12, Uszczyn, 97-330 Sulejów</v>
      </c>
      <c r="H207">
        <v>1216</v>
      </c>
      <c r="I207">
        <v>1216</v>
      </c>
      <c r="J207">
        <v>0</v>
      </c>
      <c r="K207">
        <v>860</v>
      </c>
      <c r="L207">
        <v>530</v>
      </c>
      <c r="M207">
        <v>330</v>
      </c>
      <c r="N207">
        <v>330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330</v>
      </c>
      <c r="Z207">
        <v>0</v>
      </c>
      <c r="AA207">
        <v>0</v>
      </c>
      <c r="AB207">
        <v>330</v>
      </c>
      <c r="AC207">
        <v>9</v>
      </c>
      <c r="AD207">
        <v>321</v>
      </c>
      <c r="AE207">
        <v>7</v>
      </c>
      <c r="AF207">
        <v>3</v>
      </c>
      <c r="AG207">
        <v>1</v>
      </c>
      <c r="AH207">
        <v>0</v>
      </c>
      <c r="AI207">
        <v>2</v>
      </c>
      <c r="AJ207">
        <v>0</v>
      </c>
      <c r="AK207">
        <v>0</v>
      </c>
      <c r="AL207">
        <v>1</v>
      </c>
      <c r="AM207">
        <v>0</v>
      </c>
      <c r="AN207">
        <v>0</v>
      </c>
      <c r="AO207">
        <v>0</v>
      </c>
      <c r="AP207">
        <v>7</v>
      </c>
      <c r="AQ207">
        <v>2</v>
      </c>
      <c r="AR207">
        <v>1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1</v>
      </c>
      <c r="BB207">
        <v>2</v>
      </c>
      <c r="BC207">
        <v>22</v>
      </c>
      <c r="BD207">
        <v>6</v>
      </c>
      <c r="BE207">
        <v>1</v>
      </c>
      <c r="BF207">
        <v>1</v>
      </c>
      <c r="BG207">
        <v>0</v>
      </c>
      <c r="BH207">
        <v>4</v>
      </c>
      <c r="BI207">
        <v>1</v>
      </c>
      <c r="BJ207">
        <v>0</v>
      </c>
      <c r="BK207">
        <v>0</v>
      </c>
      <c r="BL207">
        <v>0</v>
      </c>
      <c r="BM207">
        <v>9</v>
      </c>
      <c r="BN207">
        <v>22</v>
      </c>
      <c r="BO207">
        <v>152</v>
      </c>
      <c r="BP207">
        <v>125</v>
      </c>
      <c r="BQ207">
        <v>8</v>
      </c>
      <c r="BR207">
        <v>7</v>
      </c>
      <c r="BS207">
        <v>1</v>
      </c>
      <c r="BT207">
        <v>1</v>
      </c>
      <c r="BU207">
        <v>3</v>
      </c>
      <c r="BV207">
        <v>1</v>
      </c>
      <c r="BW207">
        <v>2</v>
      </c>
      <c r="BX207">
        <v>2</v>
      </c>
      <c r="BY207">
        <v>2</v>
      </c>
      <c r="BZ207">
        <v>152</v>
      </c>
      <c r="CA207">
        <v>3</v>
      </c>
      <c r="CB207">
        <v>0</v>
      </c>
      <c r="CC207">
        <v>3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3</v>
      </c>
      <c r="CM207">
        <v>14</v>
      </c>
      <c r="CN207">
        <v>8</v>
      </c>
      <c r="CO207">
        <v>2</v>
      </c>
      <c r="CP207">
        <v>2</v>
      </c>
      <c r="CQ207">
        <v>0</v>
      </c>
      <c r="CR207">
        <v>0</v>
      </c>
      <c r="CS207">
        <v>2</v>
      </c>
      <c r="CT207">
        <v>0</v>
      </c>
      <c r="CU207">
        <v>0</v>
      </c>
      <c r="CV207">
        <v>0</v>
      </c>
      <c r="CW207">
        <v>0</v>
      </c>
      <c r="CX207">
        <v>14</v>
      </c>
      <c r="CY207">
        <v>13</v>
      </c>
      <c r="CZ207">
        <v>10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2</v>
      </c>
      <c r="DI207">
        <v>1</v>
      </c>
      <c r="DJ207">
        <v>13</v>
      </c>
      <c r="DK207">
        <v>81</v>
      </c>
      <c r="DL207">
        <v>62</v>
      </c>
      <c r="DM207">
        <v>13</v>
      </c>
      <c r="DN207">
        <v>1</v>
      </c>
      <c r="DO207">
        <v>0</v>
      </c>
      <c r="DP207">
        <v>0</v>
      </c>
      <c r="DQ207">
        <v>0</v>
      </c>
      <c r="DR207">
        <v>2</v>
      </c>
      <c r="DS207">
        <v>2</v>
      </c>
      <c r="DT207">
        <v>0</v>
      </c>
      <c r="DU207">
        <v>1</v>
      </c>
      <c r="DV207">
        <v>81</v>
      </c>
      <c r="DW207">
        <v>25</v>
      </c>
      <c r="DX207">
        <v>2</v>
      </c>
      <c r="DY207">
        <v>4</v>
      </c>
      <c r="DZ207">
        <v>0</v>
      </c>
      <c r="EA207">
        <v>0</v>
      </c>
      <c r="EB207">
        <v>16</v>
      </c>
      <c r="EC207">
        <v>0</v>
      </c>
      <c r="ED207">
        <v>1</v>
      </c>
      <c r="EE207">
        <v>0</v>
      </c>
      <c r="EF207">
        <v>0</v>
      </c>
      <c r="EG207">
        <v>2</v>
      </c>
      <c r="EH207">
        <v>25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2</v>
      </c>
      <c r="FF207">
        <v>0</v>
      </c>
      <c r="FG207">
        <v>2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2</v>
      </c>
    </row>
    <row r="208" spans="1:172" ht="14.25">
      <c r="A208">
        <v>203</v>
      </c>
      <c r="B208" t="str">
        <f t="shared" si="36"/>
        <v>101009</v>
      </c>
      <c r="C208" t="str">
        <f t="shared" si="37"/>
        <v>Sulejów</v>
      </c>
      <c r="D208" t="str">
        <f t="shared" si="32"/>
        <v>piotrkowski</v>
      </c>
      <c r="E208" t="str">
        <f t="shared" si="35"/>
        <v>łódzkie</v>
      </c>
      <c r="F208">
        <v>9</v>
      </c>
      <c r="G208" t="str">
        <f>"Szkoła Podstawowa Nr 2, ul. Rycerska 10, 97-330 Sulejów"</f>
        <v>Szkoła Podstawowa Nr 2, ul. Rycerska 10, 97-330 Sulejów</v>
      </c>
      <c r="H208">
        <v>994</v>
      </c>
      <c r="I208">
        <v>994</v>
      </c>
      <c r="J208">
        <v>0</v>
      </c>
      <c r="K208">
        <v>700</v>
      </c>
      <c r="L208">
        <v>447</v>
      </c>
      <c r="M208">
        <v>253</v>
      </c>
      <c r="N208">
        <v>253</v>
      </c>
      <c r="O208">
        <v>0</v>
      </c>
      <c r="P208">
        <v>0</v>
      </c>
      <c r="Q208">
        <v>8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253</v>
      </c>
      <c r="Z208">
        <v>0</v>
      </c>
      <c r="AA208">
        <v>0</v>
      </c>
      <c r="AB208">
        <v>253</v>
      </c>
      <c r="AC208">
        <v>13</v>
      </c>
      <c r="AD208">
        <v>240</v>
      </c>
      <c r="AE208">
        <v>4</v>
      </c>
      <c r="AF208">
        <v>3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1</v>
      </c>
      <c r="AM208">
        <v>0</v>
      </c>
      <c r="AN208">
        <v>0</v>
      </c>
      <c r="AO208">
        <v>0</v>
      </c>
      <c r="AP208">
        <v>4</v>
      </c>
      <c r="AQ208">
        <v>1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1</v>
      </c>
      <c r="AY208">
        <v>0</v>
      </c>
      <c r="AZ208">
        <v>0</v>
      </c>
      <c r="BA208">
        <v>0</v>
      </c>
      <c r="BB208">
        <v>1</v>
      </c>
      <c r="BC208">
        <v>12</v>
      </c>
      <c r="BD208">
        <v>5</v>
      </c>
      <c r="BE208">
        <v>0</v>
      </c>
      <c r="BF208">
        <v>1</v>
      </c>
      <c r="BG208">
        <v>0</v>
      </c>
      <c r="BH208">
        <v>1</v>
      </c>
      <c r="BI208">
        <v>0</v>
      </c>
      <c r="BJ208">
        <v>0</v>
      </c>
      <c r="BK208">
        <v>0</v>
      </c>
      <c r="BL208">
        <v>0</v>
      </c>
      <c r="BM208">
        <v>5</v>
      </c>
      <c r="BN208">
        <v>12</v>
      </c>
      <c r="BO208">
        <v>105</v>
      </c>
      <c r="BP208">
        <v>79</v>
      </c>
      <c r="BQ208">
        <v>1</v>
      </c>
      <c r="BR208">
        <v>7</v>
      </c>
      <c r="BS208">
        <v>1</v>
      </c>
      <c r="BT208">
        <v>0</v>
      </c>
      <c r="BU208">
        <v>12</v>
      </c>
      <c r="BV208">
        <v>1</v>
      </c>
      <c r="BW208">
        <v>0</v>
      </c>
      <c r="BX208">
        <v>4</v>
      </c>
      <c r="BY208">
        <v>0</v>
      </c>
      <c r="BZ208">
        <v>105</v>
      </c>
      <c r="CA208">
        <v>7</v>
      </c>
      <c r="CB208">
        <v>2</v>
      </c>
      <c r="CC208">
        <v>0</v>
      </c>
      <c r="CD208">
        <v>0</v>
      </c>
      <c r="CE208">
        <v>0</v>
      </c>
      <c r="CF208">
        <v>0</v>
      </c>
      <c r="CG208">
        <v>2</v>
      </c>
      <c r="CH208">
        <v>0</v>
      </c>
      <c r="CI208">
        <v>0</v>
      </c>
      <c r="CJ208">
        <v>2</v>
      </c>
      <c r="CK208">
        <v>1</v>
      </c>
      <c r="CL208">
        <v>7</v>
      </c>
      <c r="CM208">
        <v>8</v>
      </c>
      <c r="CN208">
        <v>6</v>
      </c>
      <c r="CO208">
        <v>1</v>
      </c>
      <c r="CP208">
        <v>0</v>
      </c>
      <c r="CQ208">
        <v>0</v>
      </c>
      <c r="CR208">
        <v>0</v>
      </c>
      <c r="CS208">
        <v>1</v>
      </c>
      <c r="CT208">
        <v>0</v>
      </c>
      <c r="CU208">
        <v>0</v>
      </c>
      <c r="CV208">
        <v>0</v>
      </c>
      <c r="CW208">
        <v>0</v>
      </c>
      <c r="CX208">
        <v>8</v>
      </c>
      <c r="CY208">
        <v>15</v>
      </c>
      <c r="CZ208">
        <v>9</v>
      </c>
      <c r="DA208">
        <v>3</v>
      </c>
      <c r="DB208">
        <v>1</v>
      </c>
      <c r="DC208">
        <v>0</v>
      </c>
      <c r="DD208">
        <v>0</v>
      </c>
      <c r="DE208">
        <v>1</v>
      </c>
      <c r="DF208">
        <v>0</v>
      </c>
      <c r="DG208">
        <v>0</v>
      </c>
      <c r="DH208">
        <v>1</v>
      </c>
      <c r="DI208">
        <v>0</v>
      </c>
      <c r="DJ208">
        <v>15</v>
      </c>
      <c r="DK208">
        <v>73</v>
      </c>
      <c r="DL208">
        <v>50</v>
      </c>
      <c r="DM208">
        <v>17</v>
      </c>
      <c r="DN208">
        <v>0</v>
      </c>
      <c r="DO208">
        <v>0</v>
      </c>
      <c r="DP208">
        <v>0</v>
      </c>
      <c r="DQ208">
        <v>2</v>
      </c>
      <c r="DR208">
        <v>0</v>
      </c>
      <c r="DS208">
        <v>0</v>
      </c>
      <c r="DT208">
        <v>0</v>
      </c>
      <c r="DU208">
        <v>4</v>
      </c>
      <c r="DV208">
        <v>73</v>
      </c>
      <c r="DW208">
        <v>13</v>
      </c>
      <c r="DX208">
        <v>2</v>
      </c>
      <c r="DY208">
        <v>0</v>
      </c>
      <c r="DZ208">
        <v>0</v>
      </c>
      <c r="EA208">
        <v>0</v>
      </c>
      <c r="EB208">
        <v>5</v>
      </c>
      <c r="EC208">
        <v>1</v>
      </c>
      <c r="ED208">
        <v>0</v>
      </c>
      <c r="EE208">
        <v>0</v>
      </c>
      <c r="EF208">
        <v>3</v>
      </c>
      <c r="EG208">
        <v>2</v>
      </c>
      <c r="EH208">
        <v>13</v>
      </c>
      <c r="EI208">
        <v>2</v>
      </c>
      <c r="EJ208">
        <v>2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2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</row>
    <row r="209" spans="1:172" ht="14.25">
      <c r="A209">
        <v>204</v>
      </c>
      <c r="B209" t="str">
        <f t="shared" si="36"/>
        <v>101009</v>
      </c>
      <c r="C209" t="str">
        <f t="shared" si="37"/>
        <v>Sulejów</v>
      </c>
      <c r="D209" t="str">
        <f t="shared" si="32"/>
        <v>piotrkowski</v>
      </c>
      <c r="E209" t="str">
        <f t="shared" si="35"/>
        <v>łódzkie</v>
      </c>
      <c r="F209">
        <v>10</v>
      </c>
      <c r="G209" t="str">
        <f>"Przedszkole Samorządowe, ul. Konecka 29, 97-330 Sulejów"</f>
        <v>Przedszkole Samorządowe, ul. Konecka 29, 97-330 Sulejów</v>
      </c>
      <c r="H209">
        <v>973</v>
      </c>
      <c r="I209">
        <v>973</v>
      </c>
      <c r="J209">
        <v>0</v>
      </c>
      <c r="K209">
        <v>690</v>
      </c>
      <c r="L209">
        <v>520</v>
      </c>
      <c r="M209">
        <v>170</v>
      </c>
      <c r="N209">
        <v>170</v>
      </c>
      <c r="O209">
        <v>0</v>
      </c>
      <c r="P209">
        <v>0</v>
      </c>
      <c r="Q209">
        <v>1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170</v>
      </c>
      <c r="Z209">
        <v>0</v>
      </c>
      <c r="AA209">
        <v>0</v>
      </c>
      <c r="AB209">
        <v>170</v>
      </c>
      <c r="AC209">
        <v>3</v>
      </c>
      <c r="AD209">
        <v>167</v>
      </c>
      <c r="AE209">
        <v>2</v>
      </c>
      <c r="AF209">
        <v>1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1</v>
      </c>
      <c r="AP209">
        <v>2</v>
      </c>
      <c r="AQ209">
        <v>1</v>
      </c>
      <c r="AR209">
        <v>1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1</v>
      </c>
      <c r="BC209">
        <v>4</v>
      </c>
      <c r="BD209">
        <v>1</v>
      </c>
      <c r="BE209">
        <v>0</v>
      </c>
      <c r="BF209">
        <v>0</v>
      </c>
      <c r="BG209">
        <v>1</v>
      </c>
      <c r="BH209">
        <v>1</v>
      </c>
      <c r="BI209">
        <v>0</v>
      </c>
      <c r="BJ209">
        <v>0</v>
      </c>
      <c r="BK209">
        <v>0</v>
      </c>
      <c r="BL209">
        <v>0</v>
      </c>
      <c r="BM209">
        <v>1</v>
      </c>
      <c r="BN209">
        <v>4</v>
      </c>
      <c r="BO209">
        <v>83</v>
      </c>
      <c r="BP209">
        <v>71</v>
      </c>
      <c r="BQ209">
        <v>3</v>
      </c>
      <c r="BR209">
        <v>1</v>
      </c>
      <c r="BS209">
        <v>0</v>
      </c>
      <c r="BT209">
        <v>0</v>
      </c>
      <c r="BU209">
        <v>6</v>
      </c>
      <c r="BV209">
        <v>0</v>
      </c>
      <c r="BW209">
        <v>0</v>
      </c>
      <c r="BX209">
        <v>2</v>
      </c>
      <c r="BY209">
        <v>0</v>
      </c>
      <c r="BZ209">
        <v>83</v>
      </c>
      <c r="CA209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1</v>
      </c>
      <c r="CH209">
        <v>0</v>
      </c>
      <c r="CI209">
        <v>0</v>
      </c>
      <c r="CJ209">
        <v>0</v>
      </c>
      <c r="CK209">
        <v>0</v>
      </c>
      <c r="CL209">
        <v>1</v>
      </c>
      <c r="CM209">
        <v>3</v>
      </c>
      <c r="CN209">
        <v>1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1</v>
      </c>
      <c r="CX209">
        <v>3</v>
      </c>
      <c r="CY209">
        <v>24</v>
      </c>
      <c r="CZ209">
        <v>22</v>
      </c>
      <c r="DA209">
        <v>0</v>
      </c>
      <c r="DB209">
        <v>0</v>
      </c>
      <c r="DC209">
        <v>1</v>
      </c>
      <c r="DD209">
        <v>1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24</v>
      </c>
      <c r="DK209">
        <v>44</v>
      </c>
      <c r="DL209">
        <v>26</v>
      </c>
      <c r="DM209">
        <v>6</v>
      </c>
      <c r="DN209">
        <v>1</v>
      </c>
      <c r="DO209">
        <v>1</v>
      </c>
      <c r="DP209">
        <v>0</v>
      </c>
      <c r="DQ209">
        <v>1</v>
      </c>
      <c r="DR209">
        <v>0</v>
      </c>
      <c r="DS209">
        <v>2</v>
      </c>
      <c r="DT209">
        <v>1</v>
      </c>
      <c r="DU209">
        <v>6</v>
      </c>
      <c r="DV209">
        <v>44</v>
      </c>
      <c r="DW209">
        <v>4</v>
      </c>
      <c r="DX209">
        <v>0</v>
      </c>
      <c r="DY209">
        <v>1</v>
      </c>
      <c r="DZ209">
        <v>0</v>
      </c>
      <c r="EA209">
        <v>0</v>
      </c>
      <c r="EB209">
        <v>1</v>
      </c>
      <c r="EC209">
        <v>0</v>
      </c>
      <c r="ED209">
        <v>0</v>
      </c>
      <c r="EE209">
        <v>0</v>
      </c>
      <c r="EF209">
        <v>1</v>
      </c>
      <c r="EG209">
        <v>1</v>
      </c>
      <c r="EH209">
        <v>4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1</v>
      </c>
      <c r="FF209">
        <v>0</v>
      </c>
      <c r="FG209">
        <v>0</v>
      </c>
      <c r="FH209">
        <v>0</v>
      </c>
      <c r="FI209">
        <v>0</v>
      </c>
      <c r="FJ209">
        <v>1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1</v>
      </c>
    </row>
    <row r="210" spans="1:172" ht="14.25">
      <c r="A210">
        <v>205</v>
      </c>
      <c r="B210" t="str">
        <f t="shared" si="36"/>
        <v>101009</v>
      </c>
      <c r="C210" t="str">
        <f t="shared" si="37"/>
        <v>Sulejów</v>
      </c>
      <c r="D210" t="str">
        <f t="shared" si="32"/>
        <v>piotrkowski</v>
      </c>
      <c r="E210" t="str">
        <f t="shared" si="35"/>
        <v>łódzkie</v>
      </c>
      <c r="F210">
        <v>11</v>
      </c>
      <c r="G210" t="str">
        <f>"Szkoła Podstawowa w Przygłowie z siedzibą we Włodzimierzowie, ul. Łęczyńska 8, Włodzimierzów, 97-330 Sulejów"</f>
        <v>Szkoła Podstawowa w Przygłowie z siedzibą we Włodzimierzowie, ul. Łęczyńska 8, Włodzimierzów, 97-330 Sulejów</v>
      </c>
      <c r="H210">
        <v>1409</v>
      </c>
      <c r="I210">
        <v>1409</v>
      </c>
      <c r="J210">
        <v>0</v>
      </c>
      <c r="K210">
        <v>990</v>
      </c>
      <c r="L210">
        <v>640</v>
      </c>
      <c r="M210">
        <v>350</v>
      </c>
      <c r="N210">
        <v>350</v>
      </c>
      <c r="O210">
        <v>0</v>
      </c>
      <c r="P210">
        <v>1</v>
      </c>
      <c r="Q210">
        <v>4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350</v>
      </c>
      <c r="Z210">
        <v>0</v>
      </c>
      <c r="AA210">
        <v>0</v>
      </c>
      <c r="AB210">
        <v>350</v>
      </c>
      <c r="AC210">
        <v>9</v>
      </c>
      <c r="AD210">
        <v>341</v>
      </c>
      <c r="AE210">
        <v>8</v>
      </c>
      <c r="AF210">
        <v>3</v>
      </c>
      <c r="AG210">
        <v>1</v>
      </c>
      <c r="AH210">
        <v>0</v>
      </c>
      <c r="AI210">
        <v>1</v>
      </c>
      <c r="AJ210">
        <v>0</v>
      </c>
      <c r="AK210">
        <v>1</v>
      </c>
      <c r="AL210">
        <v>1</v>
      </c>
      <c r="AM210">
        <v>1</v>
      </c>
      <c r="AN210">
        <v>0</v>
      </c>
      <c r="AO210">
        <v>0</v>
      </c>
      <c r="AP210">
        <v>8</v>
      </c>
      <c r="AQ210">
        <v>2</v>
      </c>
      <c r="AR210">
        <v>1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1</v>
      </c>
      <c r="AY210">
        <v>0</v>
      </c>
      <c r="AZ210">
        <v>0</v>
      </c>
      <c r="BA210">
        <v>0</v>
      </c>
      <c r="BB210">
        <v>2</v>
      </c>
      <c r="BC210">
        <v>28</v>
      </c>
      <c r="BD210">
        <v>4</v>
      </c>
      <c r="BE210">
        <v>1</v>
      </c>
      <c r="BF210">
        <v>0</v>
      </c>
      <c r="BG210">
        <v>3</v>
      </c>
      <c r="BH210">
        <v>0</v>
      </c>
      <c r="BI210">
        <v>1</v>
      </c>
      <c r="BJ210">
        <v>2</v>
      </c>
      <c r="BK210">
        <v>0</v>
      </c>
      <c r="BL210">
        <v>0</v>
      </c>
      <c r="BM210">
        <v>17</v>
      </c>
      <c r="BN210">
        <v>28</v>
      </c>
      <c r="BO210">
        <v>174</v>
      </c>
      <c r="BP210">
        <v>138</v>
      </c>
      <c r="BQ210">
        <v>12</v>
      </c>
      <c r="BR210">
        <v>7</v>
      </c>
      <c r="BS210">
        <v>4</v>
      </c>
      <c r="BT210">
        <v>1</v>
      </c>
      <c r="BU210">
        <v>6</v>
      </c>
      <c r="BV210">
        <v>1</v>
      </c>
      <c r="BW210">
        <v>0</v>
      </c>
      <c r="BX210">
        <v>3</v>
      </c>
      <c r="BY210">
        <v>2</v>
      </c>
      <c r="BZ210">
        <v>174</v>
      </c>
      <c r="CA210">
        <v>8</v>
      </c>
      <c r="CB210">
        <v>2</v>
      </c>
      <c r="CC210">
        <v>0</v>
      </c>
      <c r="CD210">
        <v>0</v>
      </c>
      <c r="CE210">
        <v>0</v>
      </c>
      <c r="CF210">
        <v>0</v>
      </c>
      <c r="CG210">
        <v>1</v>
      </c>
      <c r="CH210">
        <v>1</v>
      </c>
      <c r="CI210">
        <v>0</v>
      </c>
      <c r="CJ210">
        <v>3</v>
      </c>
      <c r="CK210">
        <v>1</v>
      </c>
      <c r="CL210">
        <v>8</v>
      </c>
      <c r="CM210">
        <v>4</v>
      </c>
      <c r="CN210">
        <v>2</v>
      </c>
      <c r="CO210">
        <v>0</v>
      </c>
      <c r="CP210">
        <v>1</v>
      </c>
      <c r="CQ210">
        <v>0</v>
      </c>
      <c r="CR210">
        <v>1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4</v>
      </c>
      <c r="CY210">
        <v>29</v>
      </c>
      <c r="CZ210">
        <v>18</v>
      </c>
      <c r="DA210">
        <v>3</v>
      </c>
      <c r="DB210">
        <v>1</v>
      </c>
      <c r="DC210">
        <v>2</v>
      </c>
      <c r="DD210">
        <v>1</v>
      </c>
      <c r="DE210">
        <v>0</v>
      </c>
      <c r="DF210">
        <v>0</v>
      </c>
      <c r="DG210">
        <v>3</v>
      </c>
      <c r="DH210">
        <v>1</v>
      </c>
      <c r="DI210">
        <v>0</v>
      </c>
      <c r="DJ210">
        <v>29</v>
      </c>
      <c r="DK210">
        <v>69</v>
      </c>
      <c r="DL210">
        <v>45</v>
      </c>
      <c r="DM210">
        <v>14</v>
      </c>
      <c r="DN210">
        <v>0</v>
      </c>
      <c r="DO210">
        <v>0</v>
      </c>
      <c r="DP210">
        <v>1</v>
      </c>
      <c r="DQ210">
        <v>2</v>
      </c>
      <c r="DR210">
        <v>3</v>
      </c>
      <c r="DS210">
        <v>2</v>
      </c>
      <c r="DT210">
        <v>0</v>
      </c>
      <c r="DU210">
        <v>2</v>
      </c>
      <c r="DV210">
        <v>69</v>
      </c>
      <c r="DW210">
        <v>14</v>
      </c>
      <c r="DX210">
        <v>3</v>
      </c>
      <c r="DY210">
        <v>3</v>
      </c>
      <c r="DZ210">
        <v>0</v>
      </c>
      <c r="EA210">
        <v>0</v>
      </c>
      <c r="EB210">
        <v>5</v>
      </c>
      <c r="EC210">
        <v>0</v>
      </c>
      <c r="ED210">
        <v>0</v>
      </c>
      <c r="EE210">
        <v>0</v>
      </c>
      <c r="EF210">
        <v>1</v>
      </c>
      <c r="EG210">
        <v>2</v>
      </c>
      <c r="EH210">
        <v>14</v>
      </c>
      <c r="EI210">
        <v>3</v>
      </c>
      <c r="EJ210">
        <v>0</v>
      </c>
      <c r="EK210">
        <v>2</v>
      </c>
      <c r="EL210">
        <v>0</v>
      </c>
      <c r="EM210">
        <v>0</v>
      </c>
      <c r="EN210">
        <v>0</v>
      </c>
      <c r="EO210">
        <v>0</v>
      </c>
      <c r="EP210">
        <v>1</v>
      </c>
      <c r="EQ210">
        <v>0</v>
      </c>
      <c r="ER210">
        <v>3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2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2</v>
      </c>
      <c r="FL210">
        <v>0</v>
      </c>
      <c r="FM210">
        <v>0</v>
      </c>
      <c r="FN210">
        <v>0</v>
      </c>
      <c r="FO210">
        <v>0</v>
      </c>
      <c r="FP210">
        <v>2</v>
      </c>
    </row>
    <row r="211" spans="1:172" ht="14.25">
      <c r="A211">
        <v>206</v>
      </c>
      <c r="B211" t="str">
        <f aca="true" t="shared" si="38" ref="B211:B218">"101010"</f>
        <v>101010</v>
      </c>
      <c r="C211" t="str">
        <f aca="true" t="shared" si="39" ref="C211:C218">"Wola Krzysztoporska"</f>
        <v>Wola Krzysztoporska</v>
      </c>
      <c r="D211" t="str">
        <f t="shared" si="32"/>
        <v>piotrkowski</v>
      </c>
      <c r="E211" t="str">
        <f t="shared" si="35"/>
        <v>łódzkie</v>
      </c>
      <c r="F211">
        <v>1</v>
      </c>
      <c r="G211" t="str">
        <f>"Budynek Urzędu Gminy, ul. Kościuszki 5, 97-371 Wola Krzysztoporska"</f>
        <v>Budynek Urzędu Gminy, ul. Kościuszki 5, 97-371 Wola Krzysztoporska</v>
      </c>
      <c r="H211">
        <v>1173</v>
      </c>
      <c r="I211">
        <v>1173</v>
      </c>
      <c r="J211">
        <v>0</v>
      </c>
      <c r="K211">
        <v>820</v>
      </c>
      <c r="L211">
        <v>567</v>
      </c>
      <c r="M211">
        <v>253</v>
      </c>
      <c r="N211">
        <v>253</v>
      </c>
      <c r="O211">
        <v>0</v>
      </c>
      <c r="P211">
        <v>0</v>
      </c>
      <c r="Q211">
        <v>2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253</v>
      </c>
      <c r="Z211">
        <v>0</v>
      </c>
      <c r="AA211">
        <v>0</v>
      </c>
      <c r="AB211">
        <v>253</v>
      </c>
      <c r="AC211">
        <v>6</v>
      </c>
      <c r="AD211">
        <v>247</v>
      </c>
      <c r="AE211">
        <v>6</v>
      </c>
      <c r="AF211">
        <v>4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1</v>
      </c>
      <c r="AP211">
        <v>6</v>
      </c>
      <c r="AQ211">
        <v>4</v>
      </c>
      <c r="AR211">
        <v>3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4</v>
      </c>
      <c r="BC211">
        <v>18</v>
      </c>
      <c r="BD211">
        <v>4</v>
      </c>
      <c r="BE211">
        <v>0</v>
      </c>
      <c r="BF211">
        <v>0</v>
      </c>
      <c r="BG211">
        <v>1</v>
      </c>
      <c r="BH211">
        <v>6</v>
      </c>
      <c r="BI211">
        <v>1</v>
      </c>
      <c r="BJ211">
        <v>0</v>
      </c>
      <c r="BK211">
        <v>0</v>
      </c>
      <c r="BL211">
        <v>1</v>
      </c>
      <c r="BM211">
        <v>5</v>
      </c>
      <c r="BN211">
        <v>18</v>
      </c>
      <c r="BO211">
        <v>154</v>
      </c>
      <c r="BP211">
        <v>110</v>
      </c>
      <c r="BQ211">
        <v>4</v>
      </c>
      <c r="BR211">
        <v>12</v>
      </c>
      <c r="BS211">
        <v>6</v>
      </c>
      <c r="BT211">
        <v>2</v>
      </c>
      <c r="BU211">
        <v>2</v>
      </c>
      <c r="BV211">
        <v>0</v>
      </c>
      <c r="BW211">
        <v>2</v>
      </c>
      <c r="BX211">
        <v>14</v>
      </c>
      <c r="BY211">
        <v>2</v>
      </c>
      <c r="BZ211">
        <v>154</v>
      </c>
      <c r="CA211">
        <v>4</v>
      </c>
      <c r="CB211">
        <v>3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1</v>
      </c>
      <c r="CK211">
        <v>0</v>
      </c>
      <c r="CL211">
        <v>4</v>
      </c>
      <c r="CM211">
        <v>3</v>
      </c>
      <c r="CN211">
        <v>3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3</v>
      </c>
      <c r="CY211">
        <v>6</v>
      </c>
      <c r="CZ211">
        <v>4</v>
      </c>
      <c r="DA211">
        <v>1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6</v>
      </c>
      <c r="DK211">
        <v>27</v>
      </c>
      <c r="DL211">
        <v>19</v>
      </c>
      <c r="DM211">
        <v>5</v>
      </c>
      <c r="DN211">
        <v>1</v>
      </c>
      <c r="DO211">
        <v>0</v>
      </c>
      <c r="DP211">
        <v>1</v>
      </c>
      <c r="DQ211">
        <v>0</v>
      </c>
      <c r="DR211">
        <v>0</v>
      </c>
      <c r="DS211">
        <v>1</v>
      </c>
      <c r="DT211">
        <v>0</v>
      </c>
      <c r="DU211">
        <v>0</v>
      </c>
      <c r="DV211">
        <v>27</v>
      </c>
      <c r="DW211">
        <v>21</v>
      </c>
      <c r="DX211">
        <v>3</v>
      </c>
      <c r="DY211">
        <v>0</v>
      </c>
      <c r="DZ211">
        <v>0</v>
      </c>
      <c r="EA211">
        <v>0</v>
      </c>
      <c r="EB211">
        <v>12</v>
      </c>
      <c r="EC211">
        <v>1</v>
      </c>
      <c r="ED211">
        <v>3</v>
      </c>
      <c r="EE211">
        <v>0</v>
      </c>
      <c r="EF211">
        <v>1</v>
      </c>
      <c r="EG211">
        <v>1</v>
      </c>
      <c r="EH211">
        <v>21</v>
      </c>
      <c r="EI211">
        <v>1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1</v>
      </c>
      <c r="EP211">
        <v>0</v>
      </c>
      <c r="EQ211">
        <v>0</v>
      </c>
      <c r="ER211">
        <v>1</v>
      </c>
      <c r="ES211">
        <v>1</v>
      </c>
      <c r="ET211">
        <v>1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1</v>
      </c>
      <c r="FE211">
        <v>2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2</v>
      </c>
      <c r="FP211">
        <v>2</v>
      </c>
    </row>
    <row r="212" spans="1:172" ht="14.25">
      <c r="A212">
        <v>207</v>
      </c>
      <c r="B212" t="str">
        <f t="shared" si="38"/>
        <v>101010</v>
      </c>
      <c r="C212" t="str">
        <f t="shared" si="39"/>
        <v>Wola Krzysztoporska</v>
      </c>
      <c r="D212" t="str">
        <f t="shared" si="32"/>
        <v>piotrkowski</v>
      </c>
      <c r="E212" t="str">
        <f t="shared" si="35"/>
        <v>łódzkie</v>
      </c>
      <c r="F212">
        <v>2</v>
      </c>
      <c r="G212" t="str">
        <f>"Budynek Gminnego Ośrodka Kultury, ul. Południowa 2, 97-371 Wola Krzysztoporska"</f>
        <v>Budynek Gminnego Ośrodka Kultury, ul. Południowa 2, 97-371 Wola Krzysztoporska</v>
      </c>
      <c r="H212">
        <v>1117</v>
      </c>
      <c r="I212">
        <v>1117</v>
      </c>
      <c r="J212">
        <v>0</v>
      </c>
      <c r="K212">
        <v>790</v>
      </c>
      <c r="L212">
        <v>486</v>
      </c>
      <c r="M212">
        <v>304</v>
      </c>
      <c r="N212">
        <v>304</v>
      </c>
      <c r="O212">
        <v>0</v>
      </c>
      <c r="P212">
        <v>0</v>
      </c>
      <c r="Q212">
        <v>1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304</v>
      </c>
      <c r="Z212">
        <v>0</v>
      </c>
      <c r="AA212">
        <v>0</v>
      </c>
      <c r="AB212">
        <v>304</v>
      </c>
      <c r="AC212">
        <v>9</v>
      </c>
      <c r="AD212">
        <v>295</v>
      </c>
      <c r="AE212">
        <v>10</v>
      </c>
      <c r="AF212">
        <v>4</v>
      </c>
      <c r="AG212">
        <v>1</v>
      </c>
      <c r="AH212">
        <v>0</v>
      </c>
      <c r="AI212">
        <v>2</v>
      </c>
      <c r="AJ212">
        <v>0</v>
      </c>
      <c r="AK212">
        <v>0</v>
      </c>
      <c r="AL212">
        <v>0</v>
      </c>
      <c r="AM212">
        <v>1</v>
      </c>
      <c r="AN212">
        <v>1</v>
      </c>
      <c r="AO212">
        <v>1</v>
      </c>
      <c r="AP212">
        <v>10</v>
      </c>
      <c r="AQ212">
        <v>1</v>
      </c>
      <c r="AR212">
        <v>0</v>
      </c>
      <c r="AS212">
        <v>0</v>
      </c>
      <c r="AT212">
        <v>0</v>
      </c>
      <c r="AU212">
        <v>1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1</v>
      </c>
      <c r="BC212">
        <v>33</v>
      </c>
      <c r="BD212">
        <v>6</v>
      </c>
      <c r="BE212">
        <v>2</v>
      </c>
      <c r="BF212">
        <v>0</v>
      </c>
      <c r="BG212">
        <v>1</v>
      </c>
      <c r="BH212">
        <v>17</v>
      </c>
      <c r="BI212">
        <v>1</v>
      </c>
      <c r="BJ212">
        <v>2</v>
      </c>
      <c r="BK212">
        <v>0</v>
      </c>
      <c r="BL212">
        <v>0</v>
      </c>
      <c r="BM212">
        <v>4</v>
      </c>
      <c r="BN212">
        <v>33</v>
      </c>
      <c r="BO212">
        <v>170</v>
      </c>
      <c r="BP212">
        <v>134</v>
      </c>
      <c r="BQ212">
        <v>5</v>
      </c>
      <c r="BR212">
        <v>4</v>
      </c>
      <c r="BS212">
        <v>4</v>
      </c>
      <c r="BT212">
        <v>2</v>
      </c>
      <c r="BU212">
        <v>0</v>
      </c>
      <c r="BV212">
        <v>0</v>
      </c>
      <c r="BW212">
        <v>0</v>
      </c>
      <c r="BX212">
        <v>19</v>
      </c>
      <c r="BY212">
        <v>2</v>
      </c>
      <c r="BZ212">
        <v>170</v>
      </c>
      <c r="CA212">
        <v>3</v>
      </c>
      <c r="CB212">
        <v>1</v>
      </c>
      <c r="CC212">
        <v>0</v>
      </c>
      <c r="CD212">
        <v>1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1</v>
      </c>
      <c r="CL212">
        <v>3</v>
      </c>
      <c r="CM212">
        <v>3</v>
      </c>
      <c r="CN212">
        <v>2</v>
      </c>
      <c r="CO212">
        <v>0</v>
      </c>
      <c r="CP212">
        <v>0</v>
      </c>
      <c r="CQ212">
        <v>0</v>
      </c>
      <c r="CR212">
        <v>0</v>
      </c>
      <c r="CS212">
        <v>1</v>
      </c>
      <c r="CT212">
        <v>0</v>
      </c>
      <c r="CU212">
        <v>0</v>
      </c>
      <c r="CV212">
        <v>0</v>
      </c>
      <c r="CW212">
        <v>0</v>
      </c>
      <c r="CX212">
        <v>3</v>
      </c>
      <c r="CY212">
        <v>17</v>
      </c>
      <c r="CZ212">
        <v>10</v>
      </c>
      <c r="DA212">
        <v>0</v>
      </c>
      <c r="DB212">
        <v>0</v>
      </c>
      <c r="DC212">
        <v>0</v>
      </c>
      <c r="DD212">
        <v>1</v>
      </c>
      <c r="DE212">
        <v>1</v>
      </c>
      <c r="DF212">
        <v>2</v>
      </c>
      <c r="DG212">
        <v>0</v>
      </c>
      <c r="DH212">
        <v>1</v>
      </c>
      <c r="DI212">
        <v>2</v>
      </c>
      <c r="DJ212">
        <v>17</v>
      </c>
      <c r="DK212">
        <v>41</v>
      </c>
      <c r="DL212">
        <v>31</v>
      </c>
      <c r="DM212">
        <v>7</v>
      </c>
      <c r="DN212">
        <v>0</v>
      </c>
      <c r="DO212">
        <v>0</v>
      </c>
      <c r="DP212">
        <v>0</v>
      </c>
      <c r="DQ212">
        <v>1</v>
      </c>
      <c r="DR212">
        <v>0</v>
      </c>
      <c r="DS212">
        <v>0</v>
      </c>
      <c r="DT212">
        <v>0</v>
      </c>
      <c r="DU212">
        <v>2</v>
      </c>
      <c r="DV212">
        <v>41</v>
      </c>
      <c r="DW212">
        <v>10</v>
      </c>
      <c r="DX212">
        <v>0</v>
      </c>
      <c r="DY212">
        <v>1</v>
      </c>
      <c r="DZ212">
        <v>0</v>
      </c>
      <c r="EA212">
        <v>0</v>
      </c>
      <c r="EB212">
        <v>8</v>
      </c>
      <c r="EC212">
        <v>0</v>
      </c>
      <c r="ED212">
        <v>0</v>
      </c>
      <c r="EE212">
        <v>0</v>
      </c>
      <c r="EF212">
        <v>0</v>
      </c>
      <c r="EG212">
        <v>1</v>
      </c>
      <c r="EH212">
        <v>10</v>
      </c>
      <c r="EI212">
        <v>5</v>
      </c>
      <c r="EJ212">
        <v>0</v>
      </c>
      <c r="EK212">
        <v>3</v>
      </c>
      <c r="EL212">
        <v>0</v>
      </c>
      <c r="EM212">
        <v>0</v>
      </c>
      <c r="EN212">
        <v>0</v>
      </c>
      <c r="EO212">
        <v>1</v>
      </c>
      <c r="EP212">
        <v>0</v>
      </c>
      <c r="EQ212">
        <v>1</v>
      </c>
      <c r="ER212">
        <v>5</v>
      </c>
      <c r="ES212">
        <v>1</v>
      </c>
      <c r="ET212">
        <v>1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1</v>
      </c>
      <c r="FE212">
        <v>1</v>
      </c>
      <c r="FF212">
        <v>0</v>
      </c>
      <c r="FG212">
        <v>0</v>
      </c>
      <c r="FH212">
        <v>0</v>
      </c>
      <c r="FI212">
        <v>1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1</v>
      </c>
    </row>
    <row r="213" spans="1:172" ht="14.25">
      <c r="A213">
        <v>208</v>
      </c>
      <c r="B213" t="str">
        <f t="shared" si="38"/>
        <v>101010</v>
      </c>
      <c r="C213" t="str">
        <f t="shared" si="39"/>
        <v>Wola Krzysztoporska</v>
      </c>
      <c r="D213" t="str">
        <f t="shared" si="32"/>
        <v>piotrkowski</v>
      </c>
      <c r="E213" t="str">
        <f t="shared" si="35"/>
        <v>łódzkie</v>
      </c>
      <c r="F213">
        <v>3</v>
      </c>
      <c r="G213" t="str">
        <f>"Szkoła Podstawowa, Parzniewice 31, 97-371 Wola Krzysztoporska"</f>
        <v>Szkoła Podstawowa, Parzniewice 31, 97-371 Wola Krzysztoporska</v>
      </c>
      <c r="H213">
        <v>1207</v>
      </c>
      <c r="I213">
        <v>1207</v>
      </c>
      <c r="J213">
        <v>0</v>
      </c>
      <c r="K213">
        <v>850</v>
      </c>
      <c r="L213">
        <v>711</v>
      </c>
      <c r="M213">
        <v>139</v>
      </c>
      <c r="N213">
        <v>139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139</v>
      </c>
      <c r="Z213">
        <v>0</v>
      </c>
      <c r="AA213">
        <v>0</v>
      </c>
      <c r="AB213">
        <v>139</v>
      </c>
      <c r="AC213">
        <v>9</v>
      </c>
      <c r="AD213">
        <v>130</v>
      </c>
      <c r="AE213">
        <v>6</v>
      </c>
      <c r="AF213">
        <v>1</v>
      </c>
      <c r="AG213">
        <v>2</v>
      </c>
      <c r="AH213">
        <v>0</v>
      </c>
      <c r="AI213">
        <v>0</v>
      </c>
      <c r="AJ213">
        <v>0</v>
      </c>
      <c r="AK213">
        <v>1</v>
      </c>
      <c r="AL213">
        <v>1</v>
      </c>
      <c r="AM213">
        <v>0</v>
      </c>
      <c r="AN213">
        <v>1</v>
      </c>
      <c r="AO213">
        <v>0</v>
      </c>
      <c r="AP213">
        <v>6</v>
      </c>
      <c r="AQ213">
        <v>3</v>
      </c>
      <c r="AR213">
        <v>2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1</v>
      </c>
      <c r="BB213">
        <v>3</v>
      </c>
      <c r="BC213">
        <v>20</v>
      </c>
      <c r="BD213">
        <v>8</v>
      </c>
      <c r="BE213">
        <v>0</v>
      </c>
      <c r="BF213">
        <v>0</v>
      </c>
      <c r="BG213">
        <v>0</v>
      </c>
      <c r="BH213">
        <v>8</v>
      </c>
      <c r="BI213">
        <v>1</v>
      </c>
      <c r="BJ213">
        <v>0</v>
      </c>
      <c r="BK213">
        <v>0</v>
      </c>
      <c r="BL213">
        <v>0</v>
      </c>
      <c r="BM213">
        <v>3</v>
      </c>
      <c r="BN213">
        <v>20</v>
      </c>
      <c r="BO213">
        <v>78</v>
      </c>
      <c r="BP213">
        <v>59</v>
      </c>
      <c r="BQ213">
        <v>4</v>
      </c>
      <c r="BR213">
        <v>0</v>
      </c>
      <c r="BS213">
        <v>6</v>
      </c>
      <c r="BT213">
        <v>0</v>
      </c>
      <c r="BU213">
        <v>0</v>
      </c>
      <c r="BV213">
        <v>0</v>
      </c>
      <c r="BW213">
        <v>1</v>
      </c>
      <c r="BX213">
        <v>8</v>
      </c>
      <c r="BY213">
        <v>0</v>
      </c>
      <c r="BZ213">
        <v>78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1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1</v>
      </c>
      <c r="CM213">
        <v>1</v>
      </c>
      <c r="CN213">
        <v>0</v>
      </c>
      <c r="CO213">
        <v>1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1</v>
      </c>
      <c r="CY213">
        <v>1</v>
      </c>
      <c r="CZ213">
        <v>0</v>
      </c>
      <c r="DA213">
        <v>1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1</v>
      </c>
      <c r="DK213">
        <v>9</v>
      </c>
      <c r="DL213">
        <v>5</v>
      </c>
      <c r="DM213">
        <v>2</v>
      </c>
      <c r="DN213">
        <v>0</v>
      </c>
      <c r="DO213">
        <v>1</v>
      </c>
      <c r="DP213">
        <v>0</v>
      </c>
      <c r="DQ213">
        <v>0</v>
      </c>
      <c r="DR213">
        <v>1</v>
      </c>
      <c r="DS213">
        <v>0</v>
      </c>
      <c r="DT213">
        <v>0</v>
      </c>
      <c r="DU213">
        <v>0</v>
      </c>
      <c r="DV213">
        <v>9</v>
      </c>
      <c r="DW213">
        <v>11</v>
      </c>
      <c r="DX213">
        <v>3</v>
      </c>
      <c r="DY213">
        <v>0</v>
      </c>
      <c r="DZ213">
        <v>0</v>
      </c>
      <c r="EA213">
        <v>1</v>
      </c>
      <c r="EB213">
        <v>6</v>
      </c>
      <c r="EC213">
        <v>0</v>
      </c>
      <c r="ED213">
        <v>0</v>
      </c>
      <c r="EE213">
        <v>1</v>
      </c>
      <c r="EF213">
        <v>0</v>
      </c>
      <c r="EG213">
        <v>0</v>
      </c>
      <c r="EH213">
        <v>11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</row>
    <row r="214" spans="1:172" ht="14.25">
      <c r="A214">
        <v>209</v>
      </c>
      <c r="B214" t="str">
        <f t="shared" si="38"/>
        <v>101010</v>
      </c>
      <c r="C214" t="str">
        <f t="shared" si="39"/>
        <v>Wola Krzysztoporska</v>
      </c>
      <c r="D214" t="str">
        <f t="shared" si="32"/>
        <v>piotrkowski</v>
      </c>
      <c r="E214" t="str">
        <f t="shared" si="35"/>
        <v>łódzkie</v>
      </c>
      <c r="F214">
        <v>4</v>
      </c>
      <c r="G214" t="str">
        <f>"Szkoła Podstawowa, Krzyżanów 55, 97-371 Wola Krzysztoporska"</f>
        <v>Szkoła Podstawowa, Krzyżanów 55, 97-371 Wola Krzysztoporska</v>
      </c>
      <c r="H214">
        <v>1345</v>
      </c>
      <c r="I214">
        <v>1345</v>
      </c>
      <c r="J214">
        <v>0</v>
      </c>
      <c r="K214">
        <v>950</v>
      </c>
      <c r="L214">
        <v>743</v>
      </c>
      <c r="M214">
        <v>207</v>
      </c>
      <c r="N214">
        <v>207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207</v>
      </c>
      <c r="Z214">
        <v>0</v>
      </c>
      <c r="AA214">
        <v>0</v>
      </c>
      <c r="AB214">
        <v>207</v>
      </c>
      <c r="AC214">
        <v>7</v>
      </c>
      <c r="AD214">
        <v>200</v>
      </c>
      <c r="AE214">
        <v>6</v>
      </c>
      <c r="AF214">
        <v>4</v>
      </c>
      <c r="AG214">
        <v>0</v>
      </c>
      <c r="AH214">
        <v>0</v>
      </c>
      <c r="AI214">
        <v>1</v>
      </c>
      <c r="AJ214">
        <v>0</v>
      </c>
      <c r="AK214">
        <v>0</v>
      </c>
      <c r="AL214">
        <v>1</v>
      </c>
      <c r="AM214">
        <v>0</v>
      </c>
      <c r="AN214">
        <v>0</v>
      </c>
      <c r="AO214">
        <v>0</v>
      </c>
      <c r="AP214">
        <v>6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13</v>
      </c>
      <c r="BD214">
        <v>0</v>
      </c>
      <c r="BE214">
        <v>0</v>
      </c>
      <c r="BF214">
        <v>0</v>
      </c>
      <c r="BG214">
        <v>0</v>
      </c>
      <c r="BH214">
        <v>3</v>
      </c>
      <c r="BI214">
        <v>1</v>
      </c>
      <c r="BJ214">
        <v>0</v>
      </c>
      <c r="BK214">
        <v>0</v>
      </c>
      <c r="BL214">
        <v>0</v>
      </c>
      <c r="BM214">
        <v>9</v>
      </c>
      <c r="BN214">
        <v>13</v>
      </c>
      <c r="BO214">
        <v>112</v>
      </c>
      <c r="BP214">
        <v>85</v>
      </c>
      <c r="BQ214">
        <v>2</v>
      </c>
      <c r="BR214">
        <v>2</v>
      </c>
      <c r="BS214">
        <v>0</v>
      </c>
      <c r="BT214">
        <v>1</v>
      </c>
      <c r="BU214">
        <v>4</v>
      </c>
      <c r="BV214">
        <v>1</v>
      </c>
      <c r="BW214">
        <v>0</v>
      </c>
      <c r="BX214">
        <v>15</v>
      </c>
      <c r="BY214">
        <v>2</v>
      </c>
      <c r="BZ214">
        <v>112</v>
      </c>
      <c r="CA214">
        <v>2</v>
      </c>
      <c r="CB214">
        <v>1</v>
      </c>
      <c r="CC214">
        <v>0</v>
      </c>
      <c r="CD214">
        <v>0</v>
      </c>
      <c r="CE214">
        <v>0</v>
      </c>
      <c r="CF214">
        <v>0</v>
      </c>
      <c r="CG214">
        <v>1</v>
      </c>
      <c r="CH214">
        <v>0</v>
      </c>
      <c r="CI214">
        <v>0</v>
      </c>
      <c r="CJ214">
        <v>0</v>
      </c>
      <c r="CK214">
        <v>0</v>
      </c>
      <c r="CL214">
        <v>2</v>
      </c>
      <c r="CM214">
        <v>4</v>
      </c>
      <c r="CN214">
        <v>4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4</v>
      </c>
      <c r="CY214">
        <v>14</v>
      </c>
      <c r="CZ214">
        <v>9</v>
      </c>
      <c r="DA214">
        <v>5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14</v>
      </c>
      <c r="DK214">
        <v>26</v>
      </c>
      <c r="DL214">
        <v>15</v>
      </c>
      <c r="DM214">
        <v>6</v>
      </c>
      <c r="DN214">
        <v>0</v>
      </c>
      <c r="DO214">
        <v>0</v>
      </c>
      <c r="DP214">
        <v>3</v>
      </c>
      <c r="DQ214">
        <v>0</v>
      </c>
      <c r="DR214">
        <v>1</v>
      </c>
      <c r="DS214">
        <v>0</v>
      </c>
      <c r="DT214">
        <v>0</v>
      </c>
      <c r="DU214">
        <v>1</v>
      </c>
      <c r="DV214">
        <v>26</v>
      </c>
      <c r="DW214">
        <v>22</v>
      </c>
      <c r="DX214">
        <v>1</v>
      </c>
      <c r="DY214">
        <v>7</v>
      </c>
      <c r="DZ214">
        <v>0</v>
      </c>
      <c r="EA214">
        <v>0</v>
      </c>
      <c r="EB214">
        <v>8</v>
      </c>
      <c r="EC214">
        <v>0</v>
      </c>
      <c r="ED214">
        <v>1</v>
      </c>
      <c r="EE214">
        <v>0</v>
      </c>
      <c r="EF214">
        <v>2</v>
      </c>
      <c r="EG214">
        <v>3</v>
      </c>
      <c r="EH214">
        <v>22</v>
      </c>
      <c r="EI214">
        <v>1</v>
      </c>
      <c r="EJ214">
        <v>0</v>
      </c>
      <c r="EK214">
        <v>1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1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</row>
    <row r="215" spans="1:172" ht="14.25">
      <c r="A215">
        <v>210</v>
      </c>
      <c r="B215" t="str">
        <f t="shared" si="38"/>
        <v>101010</v>
      </c>
      <c r="C215" t="str">
        <f t="shared" si="39"/>
        <v>Wola Krzysztoporska</v>
      </c>
      <c r="D215" t="str">
        <f aca="true" t="shared" si="40" ref="D215:D225">"piotrkowski"</f>
        <v>piotrkowski</v>
      </c>
      <c r="E215" t="str">
        <f t="shared" si="35"/>
        <v>łódzkie</v>
      </c>
      <c r="F215">
        <v>5</v>
      </c>
      <c r="G215" t="str">
        <f>"Szkoła Podstawowa, ul. Ks. Kanonika Mieczysława Kozakowskiego 3, Bogdanów, 97-371 Wola Krzysztoporska"</f>
        <v>Szkoła Podstawowa, ul. Ks. Kanonika Mieczysława Kozakowskiego 3, Bogdanów, 97-371 Wola Krzysztoporska</v>
      </c>
      <c r="H215">
        <v>799</v>
      </c>
      <c r="I215">
        <v>799</v>
      </c>
      <c r="J215">
        <v>0</v>
      </c>
      <c r="K215">
        <v>560</v>
      </c>
      <c r="L215">
        <v>398</v>
      </c>
      <c r="M215">
        <v>162</v>
      </c>
      <c r="N215">
        <v>162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162</v>
      </c>
      <c r="Z215">
        <v>0</v>
      </c>
      <c r="AA215">
        <v>0</v>
      </c>
      <c r="AB215">
        <v>162</v>
      </c>
      <c r="AC215">
        <v>8</v>
      </c>
      <c r="AD215">
        <v>154</v>
      </c>
      <c r="AE215">
        <v>3</v>
      </c>
      <c r="AF215">
        <v>2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1</v>
      </c>
      <c r="AO215">
        <v>0</v>
      </c>
      <c r="AP215">
        <v>3</v>
      </c>
      <c r="AQ215">
        <v>2</v>
      </c>
      <c r="AR215">
        <v>1</v>
      </c>
      <c r="AS215">
        <v>1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2</v>
      </c>
      <c r="BC215">
        <v>4</v>
      </c>
      <c r="BD215">
        <v>0</v>
      </c>
      <c r="BE215">
        <v>2</v>
      </c>
      <c r="BF215">
        <v>0</v>
      </c>
      <c r="BG215">
        <v>0</v>
      </c>
      <c r="BH215">
        <v>1</v>
      </c>
      <c r="BI215">
        <v>0</v>
      </c>
      <c r="BJ215">
        <v>0</v>
      </c>
      <c r="BK215">
        <v>0</v>
      </c>
      <c r="BL215">
        <v>0</v>
      </c>
      <c r="BM215">
        <v>1</v>
      </c>
      <c r="BN215">
        <v>4</v>
      </c>
      <c r="BO215">
        <v>118</v>
      </c>
      <c r="BP215">
        <v>103</v>
      </c>
      <c r="BQ215">
        <v>4</v>
      </c>
      <c r="BR215">
        <v>0</v>
      </c>
      <c r="BS215">
        <v>2</v>
      </c>
      <c r="BT215">
        <v>0</v>
      </c>
      <c r="BU215">
        <v>1</v>
      </c>
      <c r="BV215">
        <v>1</v>
      </c>
      <c r="BW215">
        <v>1</v>
      </c>
      <c r="BX215">
        <v>5</v>
      </c>
      <c r="BY215">
        <v>1</v>
      </c>
      <c r="BZ215">
        <v>118</v>
      </c>
      <c r="CA215">
        <v>2</v>
      </c>
      <c r="CB215">
        <v>0</v>
      </c>
      <c r="CC215">
        <v>2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2</v>
      </c>
      <c r="CM215">
        <v>3</v>
      </c>
      <c r="CN215">
        <v>0</v>
      </c>
      <c r="CO215">
        <v>2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1</v>
      </c>
      <c r="CX215">
        <v>3</v>
      </c>
      <c r="CY215">
        <v>9</v>
      </c>
      <c r="CZ215">
        <v>3</v>
      </c>
      <c r="DA215">
        <v>3</v>
      </c>
      <c r="DB215">
        <v>0</v>
      </c>
      <c r="DC215">
        <v>0</v>
      </c>
      <c r="DD215">
        <v>2</v>
      </c>
      <c r="DE215">
        <v>0</v>
      </c>
      <c r="DF215">
        <v>0</v>
      </c>
      <c r="DG215">
        <v>1</v>
      </c>
      <c r="DH215">
        <v>0</v>
      </c>
      <c r="DI215">
        <v>0</v>
      </c>
      <c r="DJ215">
        <v>9</v>
      </c>
      <c r="DK215">
        <v>3</v>
      </c>
      <c r="DL215">
        <v>2</v>
      </c>
      <c r="DM215">
        <v>0</v>
      </c>
      <c r="DN215">
        <v>0</v>
      </c>
      <c r="DO215">
        <v>0</v>
      </c>
      <c r="DP215">
        <v>1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3</v>
      </c>
      <c r="DW215">
        <v>9</v>
      </c>
      <c r="DX215">
        <v>1</v>
      </c>
      <c r="DY215">
        <v>2</v>
      </c>
      <c r="DZ215">
        <v>0</v>
      </c>
      <c r="EA215">
        <v>0</v>
      </c>
      <c r="EB215">
        <v>6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9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1</v>
      </c>
      <c r="ET215">
        <v>1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1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</row>
    <row r="216" spans="1:172" ht="14.25">
      <c r="A216">
        <v>211</v>
      </c>
      <c r="B216" t="str">
        <f t="shared" si="38"/>
        <v>101010</v>
      </c>
      <c r="C216" t="str">
        <f t="shared" si="39"/>
        <v>Wola Krzysztoporska</v>
      </c>
      <c r="D216" t="str">
        <f t="shared" si="40"/>
        <v>piotrkowski</v>
      </c>
      <c r="E216" t="str">
        <f t="shared" si="35"/>
        <v>łódzkie</v>
      </c>
      <c r="F216">
        <v>6</v>
      </c>
      <c r="G216" t="str">
        <f>"Budynek Ochotniczej Straży Pożarnej, Woźniki 37, 97-371 Wola Krzysztoporska"</f>
        <v>Budynek Ochotniczej Straży Pożarnej, Woźniki 37, 97-371 Wola Krzysztoporska</v>
      </c>
      <c r="H216">
        <v>1221</v>
      </c>
      <c r="I216">
        <v>1221</v>
      </c>
      <c r="J216">
        <v>0</v>
      </c>
      <c r="K216">
        <v>860</v>
      </c>
      <c r="L216">
        <v>610</v>
      </c>
      <c r="M216">
        <v>250</v>
      </c>
      <c r="N216">
        <v>250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250</v>
      </c>
      <c r="Z216">
        <v>0</v>
      </c>
      <c r="AA216">
        <v>0</v>
      </c>
      <c r="AB216">
        <v>250</v>
      </c>
      <c r="AC216">
        <v>11</v>
      </c>
      <c r="AD216">
        <v>239</v>
      </c>
      <c r="AE216">
        <v>6</v>
      </c>
      <c r="AF216">
        <v>2</v>
      </c>
      <c r="AG216">
        <v>0</v>
      </c>
      <c r="AH216">
        <v>3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6</v>
      </c>
      <c r="AQ216">
        <v>5</v>
      </c>
      <c r="AR216">
        <v>3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1</v>
      </c>
      <c r="AZ216">
        <v>0</v>
      </c>
      <c r="BA216">
        <v>1</v>
      </c>
      <c r="BB216">
        <v>5</v>
      </c>
      <c r="BC216">
        <v>9</v>
      </c>
      <c r="BD216">
        <v>1</v>
      </c>
      <c r="BE216">
        <v>1</v>
      </c>
      <c r="BF216">
        <v>1</v>
      </c>
      <c r="BG216">
        <v>0</v>
      </c>
      <c r="BH216">
        <v>4</v>
      </c>
      <c r="BI216">
        <v>0</v>
      </c>
      <c r="BJ216">
        <v>0</v>
      </c>
      <c r="BK216">
        <v>0</v>
      </c>
      <c r="BL216">
        <v>0</v>
      </c>
      <c r="BM216">
        <v>2</v>
      </c>
      <c r="BN216">
        <v>9</v>
      </c>
      <c r="BO216">
        <v>157</v>
      </c>
      <c r="BP216">
        <v>145</v>
      </c>
      <c r="BQ216">
        <v>2</v>
      </c>
      <c r="BR216">
        <v>2</v>
      </c>
      <c r="BS216">
        <v>2</v>
      </c>
      <c r="BT216">
        <v>1</v>
      </c>
      <c r="BU216">
        <v>1</v>
      </c>
      <c r="BV216">
        <v>0</v>
      </c>
      <c r="BW216">
        <v>1</v>
      </c>
      <c r="BX216">
        <v>2</v>
      </c>
      <c r="BY216">
        <v>1</v>
      </c>
      <c r="BZ216">
        <v>157</v>
      </c>
      <c r="CA216">
        <v>1</v>
      </c>
      <c r="CB216">
        <v>0</v>
      </c>
      <c r="CC216">
        <v>0</v>
      </c>
      <c r="CD216">
        <v>1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1</v>
      </c>
      <c r="CM216">
        <v>7</v>
      </c>
      <c r="CN216">
        <v>1</v>
      </c>
      <c r="CO216">
        <v>2</v>
      </c>
      <c r="CP216">
        <v>1</v>
      </c>
      <c r="CQ216">
        <v>1</v>
      </c>
      <c r="CR216">
        <v>0</v>
      </c>
      <c r="CS216">
        <v>0</v>
      </c>
      <c r="CT216">
        <v>0</v>
      </c>
      <c r="CU216">
        <v>1</v>
      </c>
      <c r="CV216">
        <v>1</v>
      </c>
      <c r="CW216">
        <v>0</v>
      </c>
      <c r="CX216">
        <v>7</v>
      </c>
      <c r="CY216">
        <v>14</v>
      </c>
      <c r="CZ216">
        <v>9</v>
      </c>
      <c r="DA216">
        <v>1</v>
      </c>
      <c r="DB216">
        <v>0</v>
      </c>
      <c r="DC216">
        <v>1</v>
      </c>
      <c r="DD216">
        <v>0</v>
      </c>
      <c r="DE216">
        <v>2</v>
      </c>
      <c r="DF216">
        <v>1</v>
      </c>
      <c r="DG216">
        <v>0</v>
      </c>
      <c r="DH216">
        <v>0</v>
      </c>
      <c r="DI216">
        <v>0</v>
      </c>
      <c r="DJ216">
        <v>14</v>
      </c>
      <c r="DK216">
        <v>12</v>
      </c>
      <c r="DL216">
        <v>5</v>
      </c>
      <c r="DM216">
        <v>3</v>
      </c>
      <c r="DN216">
        <v>0</v>
      </c>
      <c r="DO216">
        <v>0</v>
      </c>
      <c r="DP216">
        <v>0</v>
      </c>
      <c r="DQ216">
        <v>1</v>
      </c>
      <c r="DR216">
        <v>2</v>
      </c>
      <c r="DS216">
        <v>0</v>
      </c>
      <c r="DT216">
        <v>0</v>
      </c>
      <c r="DU216">
        <v>1</v>
      </c>
      <c r="DV216">
        <v>12</v>
      </c>
      <c r="DW216">
        <v>25</v>
      </c>
      <c r="DX216">
        <v>15</v>
      </c>
      <c r="DY216">
        <v>3</v>
      </c>
      <c r="DZ216">
        <v>0</v>
      </c>
      <c r="EA216">
        <v>0</v>
      </c>
      <c r="EB216">
        <v>4</v>
      </c>
      <c r="EC216">
        <v>0</v>
      </c>
      <c r="ED216">
        <v>1</v>
      </c>
      <c r="EE216">
        <v>1</v>
      </c>
      <c r="EF216">
        <v>1</v>
      </c>
      <c r="EG216">
        <v>0</v>
      </c>
      <c r="EH216">
        <v>25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2</v>
      </c>
      <c r="ET216">
        <v>0</v>
      </c>
      <c r="EU216">
        <v>1</v>
      </c>
      <c r="EV216">
        <v>1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2</v>
      </c>
      <c r="FE216">
        <v>1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1</v>
      </c>
      <c r="FP216">
        <v>1</v>
      </c>
    </row>
    <row r="217" spans="1:172" ht="14.25">
      <c r="A217">
        <v>212</v>
      </c>
      <c r="B217" t="str">
        <f t="shared" si="38"/>
        <v>101010</v>
      </c>
      <c r="C217" t="str">
        <f t="shared" si="39"/>
        <v>Wola Krzysztoporska</v>
      </c>
      <c r="D217" t="str">
        <f t="shared" si="40"/>
        <v>piotrkowski</v>
      </c>
      <c r="E217" t="str">
        <f t="shared" si="35"/>
        <v>łódzkie</v>
      </c>
      <c r="F217">
        <v>7</v>
      </c>
      <c r="G217" t="str">
        <f>"Szkoła Podstawowa, ul. Piotrkowska 104, Bujny, 97-371 Wola Krzysztoporska"</f>
        <v>Szkoła Podstawowa, ul. Piotrkowska 104, Bujny, 97-371 Wola Krzysztoporska</v>
      </c>
      <c r="H217">
        <v>1230</v>
      </c>
      <c r="I217">
        <v>1230</v>
      </c>
      <c r="J217">
        <v>0</v>
      </c>
      <c r="K217">
        <v>861</v>
      </c>
      <c r="L217">
        <v>604</v>
      </c>
      <c r="M217">
        <v>257</v>
      </c>
      <c r="N217">
        <v>257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257</v>
      </c>
      <c r="Z217">
        <v>0</v>
      </c>
      <c r="AA217">
        <v>0</v>
      </c>
      <c r="AB217">
        <v>257</v>
      </c>
      <c r="AC217">
        <v>8</v>
      </c>
      <c r="AD217">
        <v>249</v>
      </c>
      <c r="AE217">
        <v>1</v>
      </c>
      <c r="AF217">
        <v>1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16</v>
      </c>
      <c r="BD217">
        <v>2</v>
      </c>
      <c r="BE217">
        <v>0</v>
      </c>
      <c r="BF217">
        <v>0</v>
      </c>
      <c r="BG217">
        <v>0</v>
      </c>
      <c r="BH217">
        <v>1</v>
      </c>
      <c r="BI217">
        <v>2</v>
      </c>
      <c r="BJ217">
        <v>0</v>
      </c>
      <c r="BK217">
        <v>0</v>
      </c>
      <c r="BL217">
        <v>1</v>
      </c>
      <c r="BM217">
        <v>10</v>
      </c>
      <c r="BN217">
        <v>16</v>
      </c>
      <c r="BO217">
        <v>166</v>
      </c>
      <c r="BP217">
        <v>125</v>
      </c>
      <c r="BQ217">
        <v>2</v>
      </c>
      <c r="BR217">
        <v>3</v>
      </c>
      <c r="BS217">
        <v>1</v>
      </c>
      <c r="BT217">
        <v>0</v>
      </c>
      <c r="BU217">
        <v>4</v>
      </c>
      <c r="BV217">
        <v>0</v>
      </c>
      <c r="BW217">
        <v>1</v>
      </c>
      <c r="BX217">
        <v>29</v>
      </c>
      <c r="BY217">
        <v>1</v>
      </c>
      <c r="BZ217">
        <v>166</v>
      </c>
      <c r="CA217">
        <v>1</v>
      </c>
      <c r="CB217">
        <v>1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1</v>
      </c>
      <c r="CM217">
        <v>1</v>
      </c>
      <c r="CN217">
        <v>1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11</v>
      </c>
      <c r="CZ217">
        <v>8</v>
      </c>
      <c r="DA217">
        <v>2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1</v>
      </c>
      <c r="DI217">
        <v>0</v>
      </c>
      <c r="DJ217">
        <v>11</v>
      </c>
      <c r="DK217">
        <v>25</v>
      </c>
      <c r="DL217">
        <v>18</v>
      </c>
      <c r="DM217">
        <v>4</v>
      </c>
      <c r="DN217">
        <v>0</v>
      </c>
      <c r="DO217">
        <v>0</v>
      </c>
      <c r="DP217">
        <v>0</v>
      </c>
      <c r="DQ217">
        <v>0</v>
      </c>
      <c r="DR217">
        <v>1</v>
      </c>
      <c r="DS217">
        <v>0</v>
      </c>
      <c r="DT217">
        <v>0</v>
      </c>
      <c r="DU217">
        <v>2</v>
      </c>
      <c r="DV217">
        <v>25</v>
      </c>
      <c r="DW217">
        <v>28</v>
      </c>
      <c r="DX217">
        <v>5</v>
      </c>
      <c r="DY217">
        <v>1</v>
      </c>
      <c r="DZ217">
        <v>0</v>
      </c>
      <c r="EA217">
        <v>2</v>
      </c>
      <c r="EB217">
        <v>18</v>
      </c>
      <c r="EC217">
        <v>0</v>
      </c>
      <c r="ED217">
        <v>1</v>
      </c>
      <c r="EE217">
        <v>0</v>
      </c>
      <c r="EF217">
        <v>0</v>
      </c>
      <c r="EG217">
        <v>1</v>
      </c>
      <c r="EH217">
        <v>28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</row>
    <row r="218" spans="1:172" ht="14.25">
      <c r="A218">
        <v>213</v>
      </c>
      <c r="B218" t="str">
        <f t="shared" si="38"/>
        <v>101010</v>
      </c>
      <c r="C218" t="str">
        <f t="shared" si="39"/>
        <v>Wola Krzysztoporska</v>
      </c>
      <c r="D218" t="str">
        <f t="shared" si="40"/>
        <v>piotrkowski</v>
      </c>
      <c r="E218" t="str">
        <f t="shared" si="35"/>
        <v>łódzkie</v>
      </c>
      <c r="F218">
        <v>8</v>
      </c>
      <c r="G218" t="str">
        <f>"Szkoła Podstawowa, ul. Szkolna 2, Gomulin, 97-371 Wola Krzysztoporska"</f>
        <v>Szkoła Podstawowa, ul. Szkolna 2, Gomulin, 97-371 Wola Krzysztoporska</v>
      </c>
      <c r="H218">
        <v>1180</v>
      </c>
      <c r="I218">
        <v>1180</v>
      </c>
      <c r="J218">
        <v>0</v>
      </c>
      <c r="K218">
        <v>830</v>
      </c>
      <c r="L218">
        <v>451</v>
      </c>
      <c r="M218">
        <v>379</v>
      </c>
      <c r="N218">
        <v>379</v>
      </c>
      <c r="O218">
        <v>0</v>
      </c>
      <c r="P218">
        <v>0</v>
      </c>
      <c r="Q218">
        <v>1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379</v>
      </c>
      <c r="Z218">
        <v>0</v>
      </c>
      <c r="AA218">
        <v>0</v>
      </c>
      <c r="AB218">
        <v>379</v>
      </c>
      <c r="AC218">
        <v>11</v>
      </c>
      <c r="AD218">
        <v>368</v>
      </c>
      <c r="AE218">
        <v>8</v>
      </c>
      <c r="AF218">
        <v>4</v>
      </c>
      <c r="AG218">
        <v>0</v>
      </c>
      <c r="AH218">
        <v>2</v>
      </c>
      <c r="AI218">
        <v>0</v>
      </c>
      <c r="AJ218">
        <v>1</v>
      </c>
      <c r="AK218">
        <v>0</v>
      </c>
      <c r="AL218">
        <v>1</v>
      </c>
      <c r="AM218">
        <v>0</v>
      </c>
      <c r="AN218">
        <v>0</v>
      </c>
      <c r="AO218">
        <v>0</v>
      </c>
      <c r="AP218">
        <v>8</v>
      </c>
      <c r="AQ218">
        <v>3</v>
      </c>
      <c r="AR218">
        <v>2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1</v>
      </c>
      <c r="AZ218">
        <v>0</v>
      </c>
      <c r="BA218">
        <v>0</v>
      </c>
      <c r="BB218">
        <v>3</v>
      </c>
      <c r="BC218">
        <v>11</v>
      </c>
      <c r="BD218">
        <v>1</v>
      </c>
      <c r="BE218">
        <v>1</v>
      </c>
      <c r="BF218">
        <v>0</v>
      </c>
      <c r="BG218">
        <v>1</v>
      </c>
      <c r="BH218">
        <v>2</v>
      </c>
      <c r="BI218">
        <v>0</v>
      </c>
      <c r="BJ218">
        <v>0</v>
      </c>
      <c r="BK218">
        <v>0</v>
      </c>
      <c r="BL218">
        <v>0</v>
      </c>
      <c r="BM218">
        <v>6</v>
      </c>
      <c r="BN218">
        <v>11</v>
      </c>
      <c r="BO218">
        <v>280</v>
      </c>
      <c r="BP218">
        <v>258</v>
      </c>
      <c r="BQ218">
        <v>6</v>
      </c>
      <c r="BR218">
        <v>1</v>
      </c>
      <c r="BS218">
        <v>2</v>
      </c>
      <c r="BT218">
        <v>1</v>
      </c>
      <c r="BU218">
        <v>6</v>
      </c>
      <c r="BV218">
        <v>0</v>
      </c>
      <c r="BW218">
        <v>0</v>
      </c>
      <c r="BX218">
        <v>5</v>
      </c>
      <c r="BY218">
        <v>1</v>
      </c>
      <c r="BZ218">
        <v>280</v>
      </c>
      <c r="CA218">
        <v>3</v>
      </c>
      <c r="CB218">
        <v>2</v>
      </c>
      <c r="CC218">
        <v>1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3</v>
      </c>
      <c r="CM218">
        <v>2</v>
      </c>
      <c r="CN218">
        <v>2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2</v>
      </c>
      <c r="CY218">
        <v>9</v>
      </c>
      <c r="CZ218">
        <v>7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1</v>
      </c>
      <c r="DG218">
        <v>1</v>
      </c>
      <c r="DH218">
        <v>0</v>
      </c>
      <c r="DI218">
        <v>0</v>
      </c>
      <c r="DJ218">
        <v>9</v>
      </c>
      <c r="DK218">
        <v>22</v>
      </c>
      <c r="DL218">
        <v>18</v>
      </c>
      <c r="DM218">
        <v>3</v>
      </c>
      <c r="DN218">
        <v>0</v>
      </c>
      <c r="DO218">
        <v>0</v>
      </c>
      <c r="DP218">
        <v>0</v>
      </c>
      <c r="DQ218">
        <v>0</v>
      </c>
      <c r="DR218">
        <v>0</v>
      </c>
      <c r="DS218">
        <v>0</v>
      </c>
      <c r="DT218">
        <v>0</v>
      </c>
      <c r="DU218">
        <v>1</v>
      </c>
      <c r="DV218">
        <v>22</v>
      </c>
      <c r="DW218">
        <v>24</v>
      </c>
      <c r="DX218">
        <v>5</v>
      </c>
      <c r="DY218">
        <v>5</v>
      </c>
      <c r="DZ218">
        <v>1</v>
      </c>
      <c r="EA218">
        <v>0</v>
      </c>
      <c r="EB218">
        <v>9</v>
      </c>
      <c r="EC218">
        <v>0</v>
      </c>
      <c r="ED218">
        <v>0</v>
      </c>
      <c r="EE218">
        <v>0</v>
      </c>
      <c r="EF218">
        <v>3</v>
      </c>
      <c r="EG218">
        <v>1</v>
      </c>
      <c r="EH218">
        <v>24</v>
      </c>
      <c r="EI218">
        <v>2</v>
      </c>
      <c r="EJ218">
        <v>0</v>
      </c>
      <c r="EK218">
        <v>2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2</v>
      </c>
      <c r="ES218">
        <v>2</v>
      </c>
      <c r="ET218">
        <v>0</v>
      </c>
      <c r="EU218">
        <v>1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0</v>
      </c>
      <c r="FC218">
        <v>1</v>
      </c>
      <c r="FD218">
        <v>2</v>
      </c>
      <c r="FE218">
        <v>2</v>
      </c>
      <c r="FF218">
        <v>0</v>
      </c>
      <c r="FG218">
        <v>1</v>
      </c>
      <c r="FH218">
        <v>0</v>
      </c>
      <c r="FI218">
        <v>0</v>
      </c>
      <c r="FJ218">
        <v>0</v>
      </c>
      <c r="FK218">
        <v>0</v>
      </c>
      <c r="FL218">
        <v>1</v>
      </c>
      <c r="FM218">
        <v>0</v>
      </c>
      <c r="FN218">
        <v>0</v>
      </c>
      <c r="FO218">
        <v>0</v>
      </c>
      <c r="FP218">
        <v>2</v>
      </c>
    </row>
    <row r="219" spans="1:172" ht="14.25">
      <c r="A219">
        <v>214</v>
      </c>
      <c r="B219" t="str">
        <f aca="true" t="shared" si="41" ref="B219:B225">"101011"</f>
        <v>101011</v>
      </c>
      <c r="C219" t="str">
        <f aca="true" t="shared" si="42" ref="C219:C225">"Wolbórz"</f>
        <v>Wolbórz</v>
      </c>
      <c r="D219" t="str">
        <f t="shared" si="40"/>
        <v>piotrkowski</v>
      </c>
      <c r="E219" t="str">
        <f t="shared" si="35"/>
        <v>łódzkie</v>
      </c>
      <c r="F219">
        <v>1</v>
      </c>
      <c r="G219" t="str">
        <f>"Publiczne Gimnazjum w Wolborzu, ul. Modrzewskiego 105A, 97-320 Wolbórz"</f>
        <v>Publiczne Gimnazjum w Wolborzu, ul. Modrzewskiego 105A, 97-320 Wolbórz</v>
      </c>
      <c r="H219">
        <v>965</v>
      </c>
      <c r="I219">
        <v>965</v>
      </c>
      <c r="J219">
        <v>0</v>
      </c>
      <c r="K219">
        <v>670</v>
      </c>
      <c r="L219">
        <v>337</v>
      </c>
      <c r="M219">
        <v>333</v>
      </c>
      <c r="N219">
        <v>333</v>
      </c>
      <c r="O219">
        <v>0</v>
      </c>
      <c r="P219">
        <v>0</v>
      </c>
      <c r="Q219">
        <v>5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333</v>
      </c>
      <c r="Z219">
        <v>0</v>
      </c>
      <c r="AA219">
        <v>0</v>
      </c>
      <c r="AB219">
        <v>333</v>
      </c>
      <c r="AC219">
        <v>14</v>
      </c>
      <c r="AD219">
        <v>319</v>
      </c>
      <c r="AE219">
        <v>8</v>
      </c>
      <c r="AF219">
        <v>3</v>
      </c>
      <c r="AG219">
        <v>1</v>
      </c>
      <c r="AH219">
        <v>1</v>
      </c>
      <c r="AI219">
        <v>2</v>
      </c>
      <c r="AJ219">
        <v>0</v>
      </c>
      <c r="AK219">
        <v>0</v>
      </c>
      <c r="AL219">
        <v>1</v>
      </c>
      <c r="AM219">
        <v>0</v>
      </c>
      <c r="AN219">
        <v>0</v>
      </c>
      <c r="AO219">
        <v>0</v>
      </c>
      <c r="AP219">
        <v>8</v>
      </c>
      <c r="AQ219">
        <v>2</v>
      </c>
      <c r="AR219">
        <v>0</v>
      </c>
      <c r="AS219">
        <v>2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2</v>
      </c>
      <c r="BC219">
        <v>25</v>
      </c>
      <c r="BD219">
        <v>7</v>
      </c>
      <c r="BE219">
        <v>1</v>
      </c>
      <c r="BF219">
        <v>0</v>
      </c>
      <c r="BG219">
        <v>0</v>
      </c>
      <c r="BH219">
        <v>14</v>
      </c>
      <c r="BI219">
        <v>0</v>
      </c>
      <c r="BJ219">
        <v>1</v>
      </c>
      <c r="BK219">
        <v>0</v>
      </c>
      <c r="BL219">
        <v>0</v>
      </c>
      <c r="BM219">
        <v>2</v>
      </c>
      <c r="BN219">
        <v>25</v>
      </c>
      <c r="BO219">
        <v>148</v>
      </c>
      <c r="BP219">
        <v>121</v>
      </c>
      <c r="BQ219">
        <v>1</v>
      </c>
      <c r="BR219">
        <v>10</v>
      </c>
      <c r="BS219">
        <v>3</v>
      </c>
      <c r="BT219">
        <v>0</v>
      </c>
      <c r="BU219">
        <v>7</v>
      </c>
      <c r="BV219">
        <v>1</v>
      </c>
      <c r="BW219">
        <v>1</v>
      </c>
      <c r="BX219">
        <v>2</v>
      </c>
      <c r="BY219">
        <v>2</v>
      </c>
      <c r="BZ219">
        <v>148</v>
      </c>
      <c r="CA219">
        <v>4</v>
      </c>
      <c r="CB219">
        <v>1</v>
      </c>
      <c r="CC219">
        <v>2</v>
      </c>
      <c r="CD219">
        <v>0</v>
      </c>
      <c r="CE219">
        <v>0</v>
      </c>
      <c r="CF219">
        <v>0</v>
      </c>
      <c r="CG219">
        <v>1</v>
      </c>
      <c r="CH219">
        <v>0</v>
      </c>
      <c r="CI219">
        <v>0</v>
      </c>
      <c r="CJ219">
        <v>0</v>
      </c>
      <c r="CK219">
        <v>0</v>
      </c>
      <c r="CL219">
        <v>4</v>
      </c>
      <c r="CM219">
        <v>5</v>
      </c>
      <c r="CN219">
        <v>1</v>
      </c>
      <c r="CO219">
        <v>0</v>
      </c>
      <c r="CP219">
        <v>2</v>
      </c>
      <c r="CQ219">
        <v>1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1</v>
      </c>
      <c r="CX219">
        <v>5</v>
      </c>
      <c r="CY219">
        <v>16</v>
      </c>
      <c r="CZ219">
        <v>8</v>
      </c>
      <c r="DA219">
        <v>2</v>
      </c>
      <c r="DB219">
        <v>2</v>
      </c>
      <c r="DC219">
        <v>1</v>
      </c>
      <c r="DD219">
        <v>0</v>
      </c>
      <c r="DE219">
        <v>0</v>
      </c>
      <c r="DF219">
        <v>0</v>
      </c>
      <c r="DG219">
        <v>1</v>
      </c>
      <c r="DH219">
        <v>2</v>
      </c>
      <c r="DI219">
        <v>0</v>
      </c>
      <c r="DJ219">
        <v>16</v>
      </c>
      <c r="DK219">
        <v>72</v>
      </c>
      <c r="DL219">
        <v>49</v>
      </c>
      <c r="DM219">
        <v>13</v>
      </c>
      <c r="DN219">
        <v>1</v>
      </c>
      <c r="DO219">
        <v>2</v>
      </c>
      <c r="DP219">
        <v>1</v>
      </c>
      <c r="DQ219">
        <v>2</v>
      </c>
      <c r="DR219">
        <v>1</v>
      </c>
      <c r="DS219">
        <v>0</v>
      </c>
      <c r="DT219">
        <v>0</v>
      </c>
      <c r="DU219">
        <v>3</v>
      </c>
      <c r="DV219">
        <v>72</v>
      </c>
      <c r="DW219">
        <v>33</v>
      </c>
      <c r="DX219">
        <v>10</v>
      </c>
      <c r="DY219">
        <v>11</v>
      </c>
      <c r="DZ219">
        <v>0</v>
      </c>
      <c r="EA219">
        <v>1</v>
      </c>
      <c r="EB219">
        <v>5</v>
      </c>
      <c r="EC219">
        <v>3</v>
      </c>
      <c r="ED219">
        <v>0</v>
      </c>
      <c r="EE219">
        <v>1</v>
      </c>
      <c r="EF219">
        <v>1</v>
      </c>
      <c r="EG219">
        <v>1</v>
      </c>
      <c r="EH219">
        <v>33</v>
      </c>
      <c r="EI219">
        <v>1</v>
      </c>
      <c r="EJ219">
        <v>0</v>
      </c>
      <c r="EK219">
        <v>1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1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5</v>
      </c>
      <c r="FF219">
        <v>0</v>
      </c>
      <c r="FG219">
        <v>0</v>
      </c>
      <c r="FH219">
        <v>1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1</v>
      </c>
      <c r="FO219">
        <v>3</v>
      </c>
      <c r="FP219">
        <v>5</v>
      </c>
    </row>
    <row r="220" spans="1:172" ht="14.25">
      <c r="A220">
        <v>215</v>
      </c>
      <c r="B220" t="str">
        <f t="shared" si="41"/>
        <v>101011</v>
      </c>
      <c r="C220" t="str">
        <f t="shared" si="42"/>
        <v>Wolbórz</v>
      </c>
      <c r="D220" t="str">
        <f t="shared" si="40"/>
        <v>piotrkowski</v>
      </c>
      <c r="E220" t="str">
        <f t="shared" si="35"/>
        <v>łódzkie</v>
      </c>
      <c r="F220">
        <v>2</v>
      </c>
      <c r="G220" t="str">
        <f>"Miejski Ośrodek Kultury w Wolborzu, ul. Modrzewskiego 15, 97-320 Wolbórz"</f>
        <v>Miejski Ośrodek Kultury w Wolborzu, ul. Modrzewskiego 15, 97-320 Wolbórz</v>
      </c>
      <c r="H220">
        <v>1319</v>
      </c>
      <c r="I220">
        <v>1319</v>
      </c>
      <c r="J220">
        <v>0</v>
      </c>
      <c r="K220">
        <v>927</v>
      </c>
      <c r="L220">
        <v>565</v>
      </c>
      <c r="M220">
        <v>362</v>
      </c>
      <c r="N220">
        <v>362</v>
      </c>
      <c r="O220">
        <v>0</v>
      </c>
      <c r="P220">
        <v>3</v>
      </c>
      <c r="Q220">
        <v>2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362</v>
      </c>
      <c r="Z220">
        <v>0</v>
      </c>
      <c r="AA220">
        <v>0</v>
      </c>
      <c r="AB220">
        <v>362</v>
      </c>
      <c r="AC220">
        <v>9</v>
      </c>
      <c r="AD220">
        <v>353</v>
      </c>
      <c r="AE220">
        <v>2</v>
      </c>
      <c r="AF220">
        <v>1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1</v>
      </c>
      <c r="AO220">
        <v>0</v>
      </c>
      <c r="AP220">
        <v>2</v>
      </c>
      <c r="AQ220">
        <v>5</v>
      </c>
      <c r="AR220">
        <v>4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1</v>
      </c>
      <c r="BB220">
        <v>5</v>
      </c>
      <c r="BC220">
        <v>25</v>
      </c>
      <c r="BD220">
        <v>5</v>
      </c>
      <c r="BE220">
        <v>2</v>
      </c>
      <c r="BF220">
        <v>0</v>
      </c>
      <c r="BG220">
        <v>2</v>
      </c>
      <c r="BH220">
        <v>11</v>
      </c>
      <c r="BI220">
        <v>1</v>
      </c>
      <c r="BJ220">
        <v>0</v>
      </c>
      <c r="BK220">
        <v>0</v>
      </c>
      <c r="BL220">
        <v>1</v>
      </c>
      <c r="BM220">
        <v>3</v>
      </c>
      <c r="BN220">
        <v>25</v>
      </c>
      <c r="BO220">
        <v>162</v>
      </c>
      <c r="BP220">
        <v>142</v>
      </c>
      <c r="BQ220">
        <v>3</v>
      </c>
      <c r="BR220">
        <v>7</v>
      </c>
      <c r="BS220">
        <v>0</v>
      </c>
      <c r="BT220">
        <v>2</v>
      </c>
      <c r="BU220">
        <v>7</v>
      </c>
      <c r="BV220">
        <v>0</v>
      </c>
      <c r="BW220">
        <v>0</v>
      </c>
      <c r="BX220">
        <v>0</v>
      </c>
      <c r="BY220">
        <v>1</v>
      </c>
      <c r="BZ220">
        <v>162</v>
      </c>
      <c r="CA220">
        <v>7</v>
      </c>
      <c r="CB220">
        <v>2</v>
      </c>
      <c r="CC220">
        <v>2</v>
      </c>
      <c r="CD220">
        <v>0</v>
      </c>
      <c r="CE220">
        <v>1</v>
      </c>
      <c r="CF220">
        <v>0</v>
      </c>
      <c r="CG220">
        <v>1</v>
      </c>
      <c r="CH220">
        <v>0</v>
      </c>
      <c r="CI220">
        <v>0</v>
      </c>
      <c r="CJ220">
        <v>1</v>
      </c>
      <c r="CK220">
        <v>0</v>
      </c>
      <c r="CL220">
        <v>7</v>
      </c>
      <c r="CM220">
        <v>13</v>
      </c>
      <c r="CN220">
        <v>8</v>
      </c>
      <c r="CO220">
        <v>0</v>
      </c>
      <c r="CP220">
        <v>0</v>
      </c>
      <c r="CQ220">
        <v>1</v>
      </c>
      <c r="CR220">
        <v>3</v>
      </c>
      <c r="CS220">
        <v>0</v>
      </c>
      <c r="CT220">
        <v>0</v>
      </c>
      <c r="CU220">
        <v>0</v>
      </c>
      <c r="CV220">
        <v>0</v>
      </c>
      <c r="CW220">
        <v>1</v>
      </c>
      <c r="CX220">
        <v>13</v>
      </c>
      <c r="CY220">
        <v>25</v>
      </c>
      <c r="CZ220">
        <v>20</v>
      </c>
      <c r="DA220">
        <v>2</v>
      </c>
      <c r="DB220">
        <v>0</v>
      </c>
      <c r="DC220">
        <v>1</v>
      </c>
      <c r="DD220">
        <v>0</v>
      </c>
      <c r="DE220">
        <v>1</v>
      </c>
      <c r="DF220">
        <v>0</v>
      </c>
      <c r="DG220">
        <v>1</v>
      </c>
      <c r="DH220">
        <v>0</v>
      </c>
      <c r="DI220">
        <v>0</v>
      </c>
      <c r="DJ220">
        <v>25</v>
      </c>
      <c r="DK220">
        <v>83</v>
      </c>
      <c r="DL220">
        <v>49</v>
      </c>
      <c r="DM220">
        <v>22</v>
      </c>
      <c r="DN220">
        <v>1</v>
      </c>
      <c r="DO220">
        <v>0</v>
      </c>
      <c r="DP220">
        <v>2</v>
      </c>
      <c r="DQ220">
        <v>2</v>
      </c>
      <c r="DR220">
        <v>1</v>
      </c>
      <c r="DS220">
        <v>0</v>
      </c>
      <c r="DT220">
        <v>2</v>
      </c>
      <c r="DU220">
        <v>4</v>
      </c>
      <c r="DV220">
        <v>83</v>
      </c>
      <c r="DW220">
        <v>27</v>
      </c>
      <c r="DX220">
        <v>7</v>
      </c>
      <c r="DY220">
        <v>3</v>
      </c>
      <c r="DZ220">
        <v>0</v>
      </c>
      <c r="EA220">
        <v>0</v>
      </c>
      <c r="EB220">
        <v>2</v>
      </c>
      <c r="EC220">
        <v>1</v>
      </c>
      <c r="ED220">
        <v>4</v>
      </c>
      <c r="EE220">
        <v>10</v>
      </c>
      <c r="EF220">
        <v>0</v>
      </c>
      <c r="EG220">
        <v>0</v>
      </c>
      <c r="EH220">
        <v>27</v>
      </c>
      <c r="EI220">
        <v>2</v>
      </c>
      <c r="EJ220">
        <v>0</v>
      </c>
      <c r="EK220">
        <v>2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2</v>
      </c>
      <c r="ES220">
        <v>0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2</v>
      </c>
      <c r="FF220">
        <v>1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1</v>
      </c>
      <c r="FM220">
        <v>0</v>
      </c>
      <c r="FN220">
        <v>0</v>
      </c>
      <c r="FO220">
        <v>0</v>
      </c>
      <c r="FP220">
        <v>2</v>
      </c>
    </row>
    <row r="221" spans="1:172" ht="14.25">
      <c r="A221">
        <v>216</v>
      </c>
      <c r="B221" t="str">
        <f t="shared" si="41"/>
        <v>101011</v>
      </c>
      <c r="C221" t="str">
        <f t="shared" si="42"/>
        <v>Wolbórz</v>
      </c>
      <c r="D221" t="str">
        <f t="shared" si="40"/>
        <v>piotrkowski</v>
      </c>
      <c r="E221" t="str">
        <f t="shared" si="35"/>
        <v>łódzkie</v>
      </c>
      <c r="F221">
        <v>3</v>
      </c>
      <c r="G221" t="str">
        <f>"Szkoła Podstawowa w Komornikach, Komorniki 99, 97-320 Wolbórz"</f>
        <v>Szkoła Podstawowa w Komornikach, Komorniki 99, 97-320 Wolbórz</v>
      </c>
      <c r="H221">
        <v>748</v>
      </c>
      <c r="I221">
        <v>748</v>
      </c>
      <c r="J221">
        <v>0</v>
      </c>
      <c r="K221">
        <v>520</v>
      </c>
      <c r="L221">
        <v>345</v>
      </c>
      <c r="M221">
        <v>175</v>
      </c>
      <c r="N221">
        <v>175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175</v>
      </c>
      <c r="Z221">
        <v>0</v>
      </c>
      <c r="AA221">
        <v>0</v>
      </c>
      <c r="AB221">
        <v>175</v>
      </c>
      <c r="AC221">
        <v>13</v>
      </c>
      <c r="AD221">
        <v>162</v>
      </c>
      <c r="AE221">
        <v>4</v>
      </c>
      <c r="AF221">
        <v>2</v>
      </c>
      <c r="AG221">
        <v>0</v>
      </c>
      <c r="AH221">
        <v>1</v>
      </c>
      <c r="AI221">
        <v>1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4</v>
      </c>
      <c r="AQ221">
        <v>2</v>
      </c>
      <c r="AR221">
        <v>1</v>
      </c>
      <c r="AS221">
        <v>0</v>
      </c>
      <c r="AT221">
        <v>0</v>
      </c>
      <c r="AU221">
        <v>1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2</v>
      </c>
      <c r="BC221">
        <v>2</v>
      </c>
      <c r="BD221">
        <v>1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1</v>
      </c>
      <c r="BN221">
        <v>2</v>
      </c>
      <c r="BO221">
        <v>108</v>
      </c>
      <c r="BP221">
        <v>92</v>
      </c>
      <c r="BQ221">
        <v>0</v>
      </c>
      <c r="BR221">
        <v>4</v>
      </c>
      <c r="BS221">
        <v>4</v>
      </c>
      <c r="BT221">
        <v>0</v>
      </c>
      <c r="BU221">
        <v>5</v>
      </c>
      <c r="BV221">
        <v>0</v>
      </c>
      <c r="BW221">
        <v>1</v>
      </c>
      <c r="BX221">
        <v>1</v>
      </c>
      <c r="BY221">
        <v>1</v>
      </c>
      <c r="BZ221">
        <v>108</v>
      </c>
      <c r="CA221">
        <v>2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2</v>
      </c>
      <c r="CI221">
        <v>0</v>
      </c>
      <c r="CJ221">
        <v>0</v>
      </c>
      <c r="CK221">
        <v>0</v>
      </c>
      <c r="CL221">
        <v>2</v>
      </c>
      <c r="CM221">
        <v>4</v>
      </c>
      <c r="CN221">
        <v>2</v>
      </c>
      <c r="CO221">
        <v>0</v>
      </c>
      <c r="CP221">
        <v>1</v>
      </c>
      <c r="CQ221">
        <v>0</v>
      </c>
      <c r="CR221">
        <v>1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4</v>
      </c>
      <c r="CY221">
        <v>8</v>
      </c>
      <c r="CZ221">
        <v>3</v>
      </c>
      <c r="DA221">
        <v>0</v>
      </c>
      <c r="DB221">
        <v>1</v>
      </c>
      <c r="DC221">
        <v>2</v>
      </c>
      <c r="DD221">
        <v>0</v>
      </c>
      <c r="DE221">
        <v>1</v>
      </c>
      <c r="DF221">
        <v>0</v>
      </c>
      <c r="DG221">
        <v>0</v>
      </c>
      <c r="DH221">
        <v>0</v>
      </c>
      <c r="DI221">
        <v>1</v>
      </c>
      <c r="DJ221">
        <v>8</v>
      </c>
      <c r="DK221">
        <v>17</v>
      </c>
      <c r="DL221">
        <v>7</v>
      </c>
      <c r="DM221">
        <v>6</v>
      </c>
      <c r="DN221">
        <v>1</v>
      </c>
      <c r="DO221">
        <v>0</v>
      </c>
      <c r="DP221">
        <v>1</v>
      </c>
      <c r="DQ221">
        <v>0</v>
      </c>
      <c r="DR221">
        <v>0</v>
      </c>
      <c r="DS221">
        <v>0</v>
      </c>
      <c r="DT221">
        <v>0</v>
      </c>
      <c r="DU221">
        <v>2</v>
      </c>
      <c r="DV221">
        <v>17</v>
      </c>
      <c r="DW221">
        <v>15</v>
      </c>
      <c r="DX221">
        <v>4</v>
      </c>
      <c r="DY221">
        <v>7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4</v>
      </c>
      <c r="EF221">
        <v>0</v>
      </c>
      <c r="EG221">
        <v>0</v>
      </c>
      <c r="EH221">
        <v>15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</row>
    <row r="222" spans="1:172" ht="14.25">
      <c r="A222">
        <v>217</v>
      </c>
      <c r="B222" t="str">
        <f t="shared" si="41"/>
        <v>101011</v>
      </c>
      <c r="C222" t="str">
        <f t="shared" si="42"/>
        <v>Wolbórz</v>
      </c>
      <c r="D222" t="str">
        <f t="shared" si="40"/>
        <v>piotrkowski</v>
      </c>
      <c r="E222" t="str">
        <f t="shared" si="35"/>
        <v>łódzkie</v>
      </c>
      <c r="F222">
        <v>4</v>
      </c>
      <c r="G222" t="str">
        <f>"Sala OSP w Kuznocinie, Kuznocin 33, 97-320 Wolbórz"</f>
        <v>Sala OSP w Kuznocinie, Kuznocin 33, 97-320 Wolbórz</v>
      </c>
      <c r="H222">
        <v>865</v>
      </c>
      <c r="I222">
        <v>865</v>
      </c>
      <c r="J222">
        <v>0</v>
      </c>
      <c r="K222">
        <v>610</v>
      </c>
      <c r="L222">
        <v>408</v>
      </c>
      <c r="M222">
        <v>202</v>
      </c>
      <c r="N222">
        <v>202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202</v>
      </c>
      <c r="Z222">
        <v>0</v>
      </c>
      <c r="AA222">
        <v>0</v>
      </c>
      <c r="AB222">
        <v>202</v>
      </c>
      <c r="AC222">
        <v>3</v>
      </c>
      <c r="AD222">
        <v>199</v>
      </c>
      <c r="AE222">
        <v>5</v>
      </c>
      <c r="AF222">
        <v>4</v>
      </c>
      <c r="AG222">
        <v>0</v>
      </c>
      <c r="AH222">
        <v>1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5</v>
      </c>
      <c r="AQ222">
        <v>2</v>
      </c>
      <c r="AR222">
        <v>0</v>
      </c>
      <c r="AS222">
        <v>1</v>
      </c>
      <c r="AT222">
        <v>0</v>
      </c>
      <c r="AU222">
        <v>0</v>
      </c>
      <c r="AV222">
        <v>1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2</v>
      </c>
      <c r="BC222">
        <v>26</v>
      </c>
      <c r="BD222">
        <v>1</v>
      </c>
      <c r="BE222">
        <v>2</v>
      </c>
      <c r="BF222">
        <v>0</v>
      </c>
      <c r="BG222">
        <v>1</v>
      </c>
      <c r="BH222">
        <v>16</v>
      </c>
      <c r="BI222">
        <v>0</v>
      </c>
      <c r="BJ222">
        <v>1</v>
      </c>
      <c r="BK222">
        <v>0</v>
      </c>
      <c r="BL222">
        <v>0</v>
      </c>
      <c r="BM222">
        <v>5</v>
      </c>
      <c r="BN222">
        <v>26</v>
      </c>
      <c r="BO222">
        <v>109</v>
      </c>
      <c r="BP222">
        <v>102</v>
      </c>
      <c r="BQ222">
        <v>0</v>
      </c>
      <c r="BR222">
        <v>1</v>
      </c>
      <c r="BS222">
        <v>1</v>
      </c>
      <c r="BT222">
        <v>0</v>
      </c>
      <c r="BU222">
        <v>4</v>
      </c>
      <c r="BV222">
        <v>0</v>
      </c>
      <c r="BW222">
        <v>0</v>
      </c>
      <c r="BX222">
        <v>0</v>
      </c>
      <c r="BY222">
        <v>1</v>
      </c>
      <c r="BZ222">
        <v>109</v>
      </c>
      <c r="CA222">
        <v>1</v>
      </c>
      <c r="CB222">
        <v>0</v>
      </c>
      <c r="CC222">
        <v>1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1</v>
      </c>
      <c r="CM222">
        <v>3</v>
      </c>
      <c r="CN222">
        <v>2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1</v>
      </c>
      <c r="CV222">
        <v>0</v>
      </c>
      <c r="CW222">
        <v>0</v>
      </c>
      <c r="CX222">
        <v>3</v>
      </c>
      <c r="CY222">
        <v>14</v>
      </c>
      <c r="CZ222">
        <v>8</v>
      </c>
      <c r="DA222">
        <v>3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3</v>
      </c>
      <c r="DI222">
        <v>0</v>
      </c>
      <c r="DJ222">
        <v>14</v>
      </c>
      <c r="DK222">
        <v>14</v>
      </c>
      <c r="DL222">
        <v>7</v>
      </c>
      <c r="DM222">
        <v>5</v>
      </c>
      <c r="DN222">
        <v>0</v>
      </c>
      <c r="DO222">
        <v>2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0</v>
      </c>
      <c r="DV222">
        <v>14</v>
      </c>
      <c r="DW222">
        <v>25</v>
      </c>
      <c r="DX222">
        <v>0</v>
      </c>
      <c r="DY222">
        <v>7</v>
      </c>
      <c r="DZ222">
        <v>0</v>
      </c>
      <c r="EA222">
        <v>1</v>
      </c>
      <c r="EB222">
        <v>5</v>
      </c>
      <c r="EC222">
        <v>1</v>
      </c>
      <c r="ED222">
        <v>0</v>
      </c>
      <c r="EE222">
        <v>9</v>
      </c>
      <c r="EF222">
        <v>1</v>
      </c>
      <c r="EG222">
        <v>1</v>
      </c>
      <c r="EH222">
        <v>25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</row>
    <row r="223" spans="1:172" ht="14.25">
      <c r="A223">
        <v>218</v>
      </c>
      <c r="B223" t="str">
        <f t="shared" si="41"/>
        <v>101011</v>
      </c>
      <c r="C223" t="str">
        <f t="shared" si="42"/>
        <v>Wolbórz</v>
      </c>
      <c r="D223" t="str">
        <f t="shared" si="40"/>
        <v>piotrkowski</v>
      </c>
      <c r="E223" t="str">
        <f t="shared" si="35"/>
        <v>łódzkie</v>
      </c>
      <c r="F223">
        <v>5</v>
      </c>
      <c r="G223" t="str">
        <f>"Sala OSP w Polichnie, Polichno 66, 97-320 Wolbórz"</f>
        <v>Sala OSP w Polichnie, Polichno 66, 97-320 Wolbórz</v>
      </c>
      <c r="H223">
        <v>1059</v>
      </c>
      <c r="I223">
        <v>1059</v>
      </c>
      <c r="J223">
        <v>0</v>
      </c>
      <c r="K223">
        <v>740</v>
      </c>
      <c r="L223">
        <v>480</v>
      </c>
      <c r="M223">
        <v>260</v>
      </c>
      <c r="N223">
        <v>260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260</v>
      </c>
      <c r="Z223">
        <v>0</v>
      </c>
      <c r="AA223">
        <v>0</v>
      </c>
      <c r="AB223">
        <v>260</v>
      </c>
      <c r="AC223">
        <v>5</v>
      </c>
      <c r="AD223">
        <v>255</v>
      </c>
      <c r="AE223">
        <v>4</v>
      </c>
      <c r="AF223">
        <v>1</v>
      </c>
      <c r="AG223">
        <v>2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4</v>
      </c>
      <c r="AQ223">
        <v>8</v>
      </c>
      <c r="AR223">
        <v>5</v>
      </c>
      <c r="AS223">
        <v>1</v>
      </c>
      <c r="AT223">
        <v>1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1</v>
      </c>
      <c r="BB223">
        <v>8</v>
      </c>
      <c r="BC223">
        <v>25</v>
      </c>
      <c r="BD223">
        <v>2</v>
      </c>
      <c r="BE223">
        <v>1</v>
      </c>
      <c r="BF223">
        <v>0</v>
      </c>
      <c r="BG223">
        <v>0</v>
      </c>
      <c r="BH223">
        <v>15</v>
      </c>
      <c r="BI223">
        <v>3</v>
      </c>
      <c r="BJ223">
        <v>0</v>
      </c>
      <c r="BK223">
        <v>0</v>
      </c>
      <c r="BL223">
        <v>2</v>
      </c>
      <c r="BM223">
        <v>2</v>
      </c>
      <c r="BN223">
        <v>25</v>
      </c>
      <c r="BO223">
        <v>130</v>
      </c>
      <c r="BP223">
        <v>109</v>
      </c>
      <c r="BQ223">
        <v>7</v>
      </c>
      <c r="BR223">
        <v>1</v>
      </c>
      <c r="BS223">
        <v>1</v>
      </c>
      <c r="BT223">
        <v>2</v>
      </c>
      <c r="BU223">
        <v>6</v>
      </c>
      <c r="BV223">
        <v>1</v>
      </c>
      <c r="BW223">
        <v>0</v>
      </c>
      <c r="BX223">
        <v>2</v>
      </c>
      <c r="BY223">
        <v>1</v>
      </c>
      <c r="BZ223">
        <v>130</v>
      </c>
      <c r="CA223">
        <v>2</v>
      </c>
      <c r="CB223">
        <v>2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2</v>
      </c>
      <c r="CM223">
        <v>5</v>
      </c>
      <c r="CN223">
        <v>5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5</v>
      </c>
      <c r="CY223">
        <v>19</v>
      </c>
      <c r="CZ223">
        <v>10</v>
      </c>
      <c r="DA223">
        <v>1</v>
      </c>
      <c r="DB223">
        <v>0</v>
      </c>
      <c r="DC223">
        <v>2</v>
      </c>
      <c r="DD223">
        <v>2</v>
      </c>
      <c r="DE223">
        <v>0</v>
      </c>
      <c r="DF223">
        <v>1</v>
      </c>
      <c r="DG223">
        <v>0</v>
      </c>
      <c r="DH223">
        <v>0</v>
      </c>
      <c r="DI223">
        <v>3</v>
      </c>
      <c r="DJ223">
        <v>19</v>
      </c>
      <c r="DK223">
        <v>26</v>
      </c>
      <c r="DL223">
        <v>16</v>
      </c>
      <c r="DM223">
        <v>9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1</v>
      </c>
      <c r="DV223">
        <v>26</v>
      </c>
      <c r="DW223">
        <v>33</v>
      </c>
      <c r="DX223">
        <v>9</v>
      </c>
      <c r="DY223">
        <v>8</v>
      </c>
      <c r="DZ223">
        <v>0</v>
      </c>
      <c r="EA223">
        <v>1</v>
      </c>
      <c r="EB223">
        <v>10</v>
      </c>
      <c r="EC223">
        <v>0</v>
      </c>
      <c r="ED223">
        <v>1</v>
      </c>
      <c r="EE223">
        <v>3</v>
      </c>
      <c r="EF223">
        <v>1</v>
      </c>
      <c r="EG223">
        <v>0</v>
      </c>
      <c r="EH223">
        <v>33</v>
      </c>
      <c r="EI223">
        <v>2</v>
      </c>
      <c r="EJ223">
        <v>2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2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1</v>
      </c>
      <c r="FF223">
        <v>0</v>
      </c>
      <c r="FG223">
        <v>0</v>
      </c>
      <c r="FH223">
        <v>0</v>
      </c>
      <c r="FI223">
        <v>1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1</v>
      </c>
    </row>
    <row r="224" spans="1:172" ht="14.25">
      <c r="A224">
        <v>219</v>
      </c>
      <c r="B224" t="str">
        <f t="shared" si="41"/>
        <v>101011</v>
      </c>
      <c r="C224" t="str">
        <f t="shared" si="42"/>
        <v>Wolbórz</v>
      </c>
      <c r="D224" t="str">
        <f t="shared" si="40"/>
        <v>piotrkowski</v>
      </c>
      <c r="E224" t="str">
        <f t="shared" si="35"/>
        <v>łódzkie</v>
      </c>
      <c r="F224">
        <v>6</v>
      </c>
      <c r="G224" t="str">
        <f>"Szkoła Podstawowa w Goleszach Dużych, Golesze Duże 27, 97-320 Wolbórz"</f>
        <v>Szkoła Podstawowa w Goleszach Dużych, Golesze Duże 27, 97-320 Wolbórz</v>
      </c>
      <c r="H224">
        <v>1301</v>
      </c>
      <c r="I224">
        <v>1300</v>
      </c>
      <c r="J224">
        <v>1</v>
      </c>
      <c r="K224">
        <v>909</v>
      </c>
      <c r="L224">
        <v>572</v>
      </c>
      <c r="M224">
        <v>337</v>
      </c>
      <c r="N224">
        <v>336</v>
      </c>
      <c r="O224"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337</v>
      </c>
      <c r="Z224">
        <v>0</v>
      </c>
      <c r="AA224">
        <v>0</v>
      </c>
      <c r="AB224">
        <v>337</v>
      </c>
      <c r="AC224">
        <v>8</v>
      </c>
      <c r="AD224">
        <v>329</v>
      </c>
      <c r="AE224">
        <v>9</v>
      </c>
      <c r="AF224">
        <v>4</v>
      </c>
      <c r="AG224">
        <v>1</v>
      </c>
      <c r="AH224">
        <v>0</v>
      </c>
      <c r="AI224">
        <v>0</v>
      </c>
      <c r="AJ224">
        <v>0</v>
      </c>
      <c r="AK224">
        <v>0</v>
      </c>
      <c r="AL224">
        <v>1</v>
      </c>
      <c r="AM224">
        <v>1</v>
      </c>
      <c r="AN224">
        <v>0</v>
      </c>
      <c r="AO224">
        <v>2</v>
      </c>
      <c r="AP224">
        <v>9</v>
      </c>
      <c r="AQ224">
        <v>5</v>
      </c>
      <c r="AR224">
        <v>3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2</v>
      </c>
      <c r="BB224">
        <v>5</v>
      </c>
      <c r="BC224">
        <v>18</v>
      </c>
      <c r="BD224">
        <v>6</v>
      </c>
      <c r="BE224">
        <v>0</v>
      </c>
      <c r="BF224">
        <v>0</v>
      </c>
      <c r="BG224">
        <v>2</v>
      </c>
      <c r="BH224">
        <v>2</v>
      </c>
      <c r="BI224">
        <v>0</v>
      </c>
      <c r="BJ224">
        <v>0</v>
      </c>
      <c r="BK224">
        <v>0</v>
      </c>
      <c r="BL224">
        <v>2</v>
      </c>
      <c r="BM224">
        <v>6</v>
      </c>
      <c r="BN224">
        <v>18</v>
      </c>
      <c r="BO224">
        <v>169</v>
      </c>
      <c r="BP224">
        <v>150</v>
      </c>
      <c r="BQ224">
        <v>3</v>
      </c>
      <c r="BR224">
        <v>6</v>
      </c>
      <c r="BS224">
        <v>0</v>
      </c>
      <c r="BT224">
        <v>1</v>
      </c>
      <c r="BU224">
        <v>2</v>
      </c>
      <c r="BV224">
        <v>2</v>
      </c>
      <c r="BW224">
        <v>0</v>
      </c>
      <c r="BX224">
        <v>3</v>
      </c>
      <c r="BY224">
        <v>2</v>
      </c>
      <c r="BZ224">
        <v>169</v>
      </c>
      <c r="CA224">
        <v>7</v>
      </c>
      <c r="CB224">
        <v>2</v>
      </c>
      <c r="CC224">
        <v>0</v>
      </c>
      <c r="CD224">
        <v>0</v>
      </c>
      <c r="CE224">
        <v>1</v>
      </c>
      <c r="CF224">
        <v>0</v>
      </c>
      <c r="CG224">
        <v>2</v>
      </c>
      <c r="CH224">
        <v>0</v>
      </c>
      <c r="CI224">
        <v>1</v>
      </c>
      <c r="CJ224">
        <v>0</v>
      </c>
      <c r="CK224">
        <v>1</v>
      </c>
      <c r="CL224">
        <v>7</v>
      </c>
      <c r="CM224">
        <v>6</v>
      </c>
      <c r="CN224">
        <v>5</v>
      </c>
      <c r="CO224">
        <v>0</v>
      </c>
      <c r="CP224">
        <v>0</v>
      </c>
      <c r="CQ224">
        <v>0</v>
      </c>
      <c r="CR224">
        <v>1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6</v>
      </c>
      <c r="CY224">
        <v>9</v>
      </c>
      <c r="CZ224">
        <v>5</v>
      </c>
      <c r="DA224">
        <v>1</v>
      </c>
      <c r="DB224">
        <v>0</v>
      </c>
      <c r="DC224">
        <v>1</v>
      </c>
      <c r="DD224">
        <v>0</v>
      </c>
      <c r="DE224">
        <v>1</v>
      </c>
      <c r="DF224">
        <v>0</v>
      </c>
      <c r="DG224">
        <v>0</v>
      </c>
      <c r="DH224">
        <v>0</v>
      </c>
      <c r="DI224">
        <v>1</v>
      </c>
      <c r="DJ224">
        <v>9</v>
      </c>
      <c r="DK224">
        <v>69</v>
      </c>
      <c r="DL224">
        <v>40</v>
      </c>
      <c r="DM224">
        <v>15</v>
      </c>
      <c r="DN224">
        <v>1</v>
      </c>
      <c r="DO224">
        <v>5</v>
      </c>
      <c r="DP224">
        <v>7</v>
      </c>
      <c r="DQ224">
        <v>0</v>
      </c>
      <c r="DR224">
        <v>0</v>
      </c>
      <c r="DS224">
        <v>0</v>
      </c>
      <c r="DT224">
        <v>0</v>
      </c>
      <c r="DU224">
        <v>1</v>
      </c>
      <c r="DV224">
        <v>69</v>
      </c>
      <c r="DW224">
        <v>30</v>
      </c>
      <c r="DX224">
        <v>2</v>
      </c>
      <c r="DY224">
        <v>11</v>
      </c>
      <c r="DZ224">
        <v>1</v>
      </c>
      <c r="EA224">
        <v>0</v>
      </c>
      <c r="EB224">
        <v>5</v>
      </c>
      <c r="EC224">
        <v>5</v>
      </c>
      <c r="ED224">
        <v>0</v>
      </c>
      <c r="EE224">
        <v>6</v>
      </c>
      <c r="EF224">
        <v>0</v>
      </c>
      <c r="EG224">
        <v>0</v>
      </c>
      <c r="EH224">
        <v>30</v>
      </c>
      <c r="EI224">
        <v>2</v>
      </c>
      <c r="EJ224">
        <v>0</v>
      </c>
      <c r="EK224">
        <v>1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1</v>
      </c>
      <c r="ER224">
        <v>2</v>
      </c>
      <c r="ES224">
        <v>3</v>
      </c>
      <c r="ET224">
        <v>0</v>
      </c>
      <c r="EU224">
        <v>1</v>
      </c>
      <c r="EV224">
        <v>0</v>
      </c>
      <c r="EW224">
        <v>0</v>
      </c>
      <c r="EX224">
        <v>0</v>
      </c>
      <c r="EY224">
        <v>1</v>
      </c>
      <c r="EZ224">
        <v>1</v>
      </c>
      <c r="FA224">
        <v>0</v>
      </c>
      <c r="FB224">
        <v>0</v>
      </c>
      <c r="FC224">
        <v>0</v>
      </c>
      <c r="FD224">
        <v>3</v>
      </c>
      <c r="FE224">
        <v>2</v>
      </c>
      <c r="FF224">
        <v>0</v>
      </c>
      <c r="FG224">
        <v>2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2</v>
      </c>
    </row>
    <row r="225" spans="1:172" ht="14.25">
      <c r="A225">
        <v>220</v>
      </c>
      <c r="B225" t="str">
        <f t="shared" si="41"/>
        <v>101011</v>
      </c>
      <c r="C225" t="str">
        <f t="shared" si="42"/>
        <v>Wolbórz</v>
      </c>
      <c r="D225" t="str">
        <f t="shared" si="40"/>
        <v>piotrkowski</v>
      </c>
      <c r="E225" t="str">
        <f t="shared" si="35"/>
        <v>łódzkie</v>
      </c>
      <c r="F225">
        <v>7</v>
      </c>
      <c r="G225" t="str">
        <f>"Oddział Zewnętrzny w Goleszach, Golesze-Parcela 20, 97-320 Wolbórz"</f>
        <v>Oddział Zewnętrzny w Goleszach, Golesze-Parcela 20, 97-320 Wolbórz</v>
      </c>
      <c r="H225">
        <v>70</v>
      </c>
      <c r="I225">
        <v>70</v>
      </c>
      <c r="J225">
        <v>0</v>
      </c>
      <c r="K225">
        <v>71</v>
      </c>
      <c r="L225">
        <v>28</v>
      </c>
      <c r="M225">
        <v>43</v>
      </c>
      <c r="N225">
        <v>43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43</v>
      </c>
      <c r="Z225">
        <v>0</v>
      </c>
      <c r="AA225">
        <v>0</v>
      </c>
      <c r="AB225">
        <v>43</v>
      </c>
      <c r="AC225">
        <v>1</v>
      </c>
      <c r="AD225">
        <v>42</v>
      </c>
      <c r="AE225">
        <v>2</v>
      </c>
      <c r="AF225">
        <v>0</v>
      </c>
      <c r="AG225">
        <v>0</v>
      </c>
      <c r="AH225">
        <v>1</v>
      </c>
      <c r="AI225">
        <v>0</v>
      </c>
      <c r="AJ225">
        <v>0</v>
      </c>
      <c r="AK225">
        <v>0</v>
      </c>
      <c r="AL225">
        <v>0</v>
      </c>
      <c r="AM225">
        <v>1</v>
      </c>
      <c r="AN225">
        <v>0</v>
      </c>
      <c r="AO225">
        <v>0</v>
      </c>
      <c r="AP225">
        <v>2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11</v>
      </c>
      <c r="BD225">
        <v>7</v>
      </c>
      <c r="BE225">
        <v>0</v>
      </c>
      <c r="BF225">
        <v>0</v>
      </c>
      <c r="BG225">
        <v>1</v>
      </c>
      <c r="BH225">
        <v>1</v>
      </c>
      <c r="BI225">
        <v>0</v>
      </c>
      <c r="BJ225">
        <v>0</v>
      </c>
      <c r="BK225">
        <v>0</v>
      </c>
      <c r="BL225">
        <v>1</v>
      </c>
      <c r="BM225">
        <v>1</v>
      </c>
      <c r="BN225">
        <v>11</v>
      </c>
      <c r="BO225">
        <v>2</v>
      </c>
      <c r="BP225">
        <v>0</v>
      </c>
      <c r="BQ225">
        <v>0</v>
      </c>
      <c r="BR225">
        <v>0</v>
      </c>
      <c r="BS225">
        <v>0</v>
      </c>
      <c r="BT225">
        <v>1</v>
      </c>
      <c r="BU225">
        <v>1</v>
      </c>
      <c r="BV225">
        <v>0</v>
      </c>
      <c r="BW225">
        <v>0</v>
      </c>
      <c r="BX225">
        <v>0</v>
      </c>
      <c r="BY225">
        <v>0</v>
      </c>
      <c r="BZ225">
        <v>2</v>
      </c>
      <c r="CA225">
        <v>1</v>
      </c>
      <c r="CB225">
        <v>0</v>
      </c>
      <c r="CC225">
        <v>0</v>
      </c>
      <c r="CD225">
        <v>1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1</v>
      </c>
      <c r="CM225">
        <v>1</v>
      </c>
      <c r="CN225">
        <v>0</v>
      </c>
      <c r="CO225">
        <v>1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1</v>
      </c>
      <c r="CY225">
        <v>2</v>
      </c>
      <c r="CZ225">
        <v>1</v>
      </c>
      <c r="DA225">
        <v>1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2</v>
      </c>
      <c r="DK225">
        <v>8</v>
      </c>
      <c r="DL225">
        <v>1</v>
      </c>
      <c r="DM225">
        <v>4</v>
      </c>
      <c r="DN225">
        <v>0</v>
      </c>
      <c r="DO225">
        <v>0</v>
      </c>
      <c r="DP225">
        <v>3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8</v>
      </c>
      <c r="DW225">
        <v>9</v>
      </c>
      <c r="DX225">
        <v>0</v>
      </c>
      <c r="DY225">
        <v>0</v>
      </c>
      <c r="DZ225">
        <v>0</v>
      </c>
      <c r="EA225">
        <v>0</v>
      </c>
      <c r="EB225">
        <v>8</v>
      </c>
      <c r="EC225">
        <v>0</v>
      </c>
      <c r="ED225">
        <v>0</v>
      </c>
      <c r="EE225">
        <v>1</v>
      </c>
      <c r="EF225">
        <v>0</v>
      </c>
      <c r="EG225">
        <v>0</v>
      </c>
      <c r="EH225">
        <v>9</v>
      </c>
      <c r="EI225">
        <v>1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1</v>
      </c>
      <c r="EQ225">
        <v>0</v>
      </c>
      <c r="ER225">
        <v>1</v>
      </c>
      <c r="ES225">
        <v>1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1</v>
      </c>
      <c r="EZ225">
        <v>0</v>
      </c>
      <c r="FA225">
        <v>0</v>
      </c>
      <c r="FB225">
        <v>0</v>
      </c>
      <c r="FC225">
        <v>0</v>
      </c>
      <c r="FD225">
        <v>1</v>
      </c>
      <c r="FE225">
        <v>4</v>
      </c>
      <c r="FF225">
        <v>0</v>
      </c>
      <c r="FG225">
        <v>0</v>
      </c>
      <c r="FH225">
        <v>3</v>
      </c>
      <c r="FI225">
        <v>0</v>
      </c>
      <c r="FJ225">
        <v>1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4</v>
      </c>
    </row>
    <row r="226" spans="1:172" ht="14.25">
      <c r="A226">
        <v>221</v>
      </c>
      <c r="B226" t="str">
        <f aca="true" t="shared" si="43" ref="B226:B249">"101201"</f>
        <v>101201</v>
      </c>
      <c r="C226" t="str">
        <f aca="true" t="shared" si="44" ref="C226:C249">"m. Radomsko"</f>
        <v>m. Radomsko</v>
      </c>
      <c r="D226" t="str">
        <f aca="true" t="shared" si="45" ref="D226:D257">"radomszczański"</f>
        <v>radomszczański</v>
      </c>
      <c r="E226" t="str">
        <f t="shared" si="35"/>
        <v>łódzkie</v>
      </c>
      <c r="F226">
        <v>1</v>
      </c>
      <c r="G226" t="str">
        <f>"Zespół Szkół Elektryczno-Elektronicznych, ul. Narutowicza 12, 97-500 Radomsko"</f>
        <v>Zespół Szkół Elektryczno-Elektronicznych, ul. Narutowicza 12, 97-500 Radomsko</v>
      </c>
      <c r="H226">
        <v>1692</v>
      </c>
      <c r="I226">
        <v>1692</v>
      </c>
      <c r="J226">
        <v>0</v>
      </c>
      <c r="K226">
        <v>1200</v>
      </c>
      <c r="L226">
        <v>899</v>
      </c>
      <c r="M226">
        <v>301</v>
      </c>
      <c r="N226">
        <v>301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301</v>
      </c>
      <c r="Z226">
        <v>0</v>
      </c>
      <c r="AA226">
        <v>0</v>
      </c>
      <c r="AB226">
        <v>301</v>
      </c>
      <c r="AC226">
        <v>3</v>
      </c>
      <c r="AD226">
        <v>298</v>
      </c>
      <c r="AE226">
        <v>7</v>
      </c>
      <c r="AF226">
        <v>1</v>
      </c>
      <c r="AG226">
        <v>0</v>
      </c>
      <c r="AH226">
        <v>5</v>
      </c>
      <c r="AI226">
        <v>0</v>
      </c>
      <c r="AJ226">
        <v>0</v>
      </c>
      <c r="AK226">
        <v>0</v>
      </c>
      <c r="AL226">
        <v>0</v>
      </c>
      <c r="AM226">
        <v>1</v>
      </c>
      <c r="AN226">
        <v>0</v>
      </c>
      <c r="AO226">
        <v>0</v>
      </c>
      <c r="AP226">
        <v>7</v>
      </c>
      <c r="AQ226">
        <v>13</v>
      </c>
      <c r="AR226">
        <v>1</v>
      </c>
      <c r="AS226">
        <v>0</v>
      </c>
      <c r="AT226">
        <v>0</v>
      </c>
      <c r="AU226">
        <v>1</v>
      </c>
      <c r="AV226">
        <v>0</v>
      </c>
      <c r="AW226">
        <v>0</v>
      </c>
      <c r="AX226">
        <v>0</v>
      </c>
      <c r="AY226">
        <v>9</v>
      </c>
      <c r="AZ226">
        <v>2</v>
      </c>
      <c r="BA226">
        <v>0</v>
      </c>
      <c r="BB226">
        <v>13</v>
      </c>
      <c r="BC226">
        <v>21</v>
      </c>
      <c r="BD226">
        <v>16</v>
      </c>
      <c r="BE226">
        <v>0</v>
      </c>
      <c r="BF226">
        <v>1</v>
      </c>
      <c r="BG226">
        <v>1</v>
      </c>
      <c r="BH226">
        <v>0</v>
      </c>
      <c r="BI226">
        <v>1</v>
      </c>
      <c r="BJ226">
        <v>2</v>
      </c>
      <c r="BK226">
        <v>0</v>
      </c>
      <c r="BL226">
        <v>0</v>
      </c>
      <c r="BM226">
        <v>0</v>
      </c>
      <c r="BN226">
        <v>21</v>
      </c>
      <c r="BO226">
        <v>146</v>
      </c>
      <c r="BP226">
        <v>121</v>
      </c>
      <c r="BQ226">
        <v>7</v>
      </c>
      <c r="BR226">
        <v>6</v>
      </c>
      <c r="BS226">
        <v>0</v>
      </c>
      <c r="BT226">
        <v>5</v>
      </c>
      <c r="BU226">
        <v>3</v>
      </c>
      <c r="BV226">
        <v>1</v>
      </c>
      <c r="BW226">
        <v>1</v>
      </c>
      <c r="BX226">
        <v>0</v>
      </c>
      <c r="BY226">
        <v>2</v>
      </c>
      <c r="BZ226">
        <v>146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1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1</v>
      </c>
      <c r="CT226">
        <v>0</v>
      </c>
      <c r="CU226">
        <v>0</v>
      </c>
      <c r="CV226">
        <v>0</v>
      </c>
      <c r="CW226">
        <v>0</v>
      </c>
      <c r="CX226">
        <v>1</v>
      </c>
      <c r="CY226">
        <v>12</v>
      </c>
      <c r="CZ226">
        <v>9</v>
      </c>
      <c r="DA226">
        <v>0</v>
      </c>
      <c r="DB226">
        <v>0</v>
      </c>
      <c r="DC226">
        <v>1</v>
      </c>
      <c r="DD226">
        <v>0</v>
      </c>
      <c r="DE226">
        <v>0</v>
      </c>
      <c r="DF226">
        <v>0</v>
      </c>
      <c r="DG226">
        <v>0</v>
      </c>
      <c r="DH226">
        <v>1</v>
      </c>
      <c r="DI226">
        <v>1</v>
      </c>
      <c r="DJ226">
        <v>12</v>
      </c>
      <c r="DK226">
        <v>87</v>
      </c>
      <c r="DL226">
        <v>57</v>
      </c>
      <c r="DM226">
        <v>29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DT226">
        <v>0</v>
      </c>
      <c r="DU226">
        <v>1</v>
      </c>
      <c r="DV226">
        <v>87</v>
      </c>
      <c r="DW226">
        <v>7</v>
      </c>
      <c r="DX226">
        <v>1</v>
      </c>
      <c r="DY226">
        <v>0</v>
      </c>
      <c r="DZ226">
        <v>0</v>
      </c>
      <c r="EA226">
        <v>0</v>
      </c>
      <c r="EB226">
        <v>1</v>
      </c>
      <c r="EC226">
        <v>5</v>
      </c>
      <c r="ED226">
        <v>0</v>
      </c>
      <c r="EE226">
        <v>0</v>
      </c>
      <c r="EF226">
        <v>0</v>
      </c>
      <c r="EG226">
        <v>0</v>
      </c>
      <c r="EH226">
        <v>7</v>
      </c>
      <c r="EI226">
        <v>3</v>
      </c>
      <c r="EJ226">
        <v>0</v>
      </c>
      <c r="EK226">
        <v>1</v>
      </c>
      <c r="EL226">
        <v>0</v>
      </c>
      <c r="EM226">
        <v>2</v>
      </c>
      <c r="EN226">
        <v>0</v>
      </c>
      <c r="EO226">
        <v>0</v>
      </c>
      <c r="EP226">
        <v>0</v>
      </c>
      <c r="EQ226">
        <v>0</v>
      </c>
      <c r="ER226">
        <v>3</v>
      </c>
      <c r="ES226">
        <v>1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1</v>
      </c>
      <c r="FB226">
        <v>0</v>
      </c>
      <c r="FC226">
        <v>0</v>
      </c>
      <c r="FD226">
        <v>1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</row>
    <row r="227" spans="1:172" ht="14.25">
      <c r="A227">
        <v>222</v>
      </c>
      <c r="B227" t="str">
        <f t="shared" si="43"/>
        <v>101201</v>
      </c>
      <c r="C227" t="str">
        <f t="shared" si="44"/>
        <v>m. Radomsko</v>
      </c>
      <c r="D227" t="str">
        <f t="shared" si="45"/>
        <v>radomszczański</v>
      </c>
      <c r="E227" t="str">
        <f t="shared" si="35"/>
        <v>łódzkie</v>
      </c>
      <c r="F227">
        <v>2</v>
      </c>
      <c r="G227" t="str">
        <f>"Zespół Szkolno-Gimnazjalny Nr 3, ul. Szkolna 4, 97-500 Radomsko"</f>
        <v>Zespół Szkolno-Gimnazjalny Nr 3, ul. Szkolna 4, 97-500 Radomsko</v>
      </c>
      <c r="H227">
        <v>1947</v>
      </c>
      <c r="I227">
        <v>1947</v>
      </c>
      <c r="J227">
        <v>0</v>
      </c>
      <c r="K227">
        <v>1380</v>
      </c>
      <c r="L227">
        <v>1010</v>
      </c>
      <c r="M227">
        <v>370</v>
      </c>
      <c r="N227">
        <v>370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370</v>
      </c>
      <c r="Z227">
        <v>0</v>
      </c>
      <c r="AA227">
        <v>0</v>
      </c>
      <c r="AB227">
        <v>370</v>
      </c>
      <c r="AC227">
        <v>17</v>
      </c>
      <c r="AD227">
        <v>353</v>
      </c>
      <c r="AE227">
        <v>18</v>
      </c>
      <c r="AF227">
        <v>2</v>
      </c>
      <c r="AG227">
        <v>0</v>
      </c>
      <c r="AH227">
        <v>14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1</v>
      </c>
      <c r="AP227">
        <v>18</v>
      </c>
      <c r="AQ227">
        <v>8</v>
      </c>
      <c r="AR227">
        <v>1</v>
      </c>
      <c r="AS227">
        <v>0</v>
      </c>
      <c r="AT227">
        <v>7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8</v>
      </c>
      <c r="BC227">
        <v>31</v>
      </c>
      <c r="BD227">
        <v>17</v>
      </c>
      <c r="BE227">
        <v>1</v>
      </c>
      <c r="BF227">
        <v>0</v>
      </c>
      <c r="BG227">
        <v>3</v>
      </c>
      <c r="BH227">
        <v>2</v>
      </c>
      <c r="BI227">
        <v>1</v>
      </c>
      <c r="BJ227">
        <v>5</v>
      </c>
      <c r="BK227">
        <v>1</v>
      </c>
      <c r="BL227">
        <v>0</v>
      </c>
      <c r="BM227">
        <v>1</v>
      </c>
      <c r="BN227">
        <v>31</v>
      </c>
      <c r="BO227">
        <v>160</v>
      </c>
      <c r="BP227">
        <v>134</v>
      </c>
      <c r="BQ227">
        <v>6</v>
      </c>
      <c r="BR227">
        <v>13</v>
      </c>
      <c r="BS227">
        <v>0</v>
      </c>
      <c r="BT227">
        <v>1</v>
      </c>
      <c r="BU227">
        <v>3</v>
      </c>
      <c r="BV227">
        <v>1</v>
      </c>
      <c r="BW227">
        <v>0</v>
      </c>
      <c r="BX227">
        <v>0</v>
      </c>
      <c r="BY227">
        <v>2</v>
      </c>
      <c r="BZ227">
        <v>160</v>
      </c>
      <c r="CA227">
        <v>7</v>
      </c>
      <c r="CB227">
        <v>4</v>
      </c>
      <c r="CC227">
        <v>1</v>
      </c>
      <c r="CD227">
        <v>1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1</v>
      </c>
      <c r="CK227">
        <v>0</v>
      </c>
      <c r="CL227">
        <v>7</v>
      </c>
      <c r="CM227">
        <v>3</v>
      </c>
      <c r="CN227">
        <v>3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3</v>
      </c>
      <c r="CY227">
        <v>21</v>
      </c>
      <c r="CZ227">
        <v>13</v>
      </c>
      <c r="DA227">
        <v>2</v>
      </c>
      <c r="DB227">
        <v>3</v>
      </c>
      <c r="DC227">
        <v>1</v>
      </c>
      <c r="DD227">
        <v>0</v>
      </c>
      <c r="DE227">
        <v>0</v>
      </c>
      <c r="DF227">
        <v>0</v>
      </c>
      <c r="DG227">
        <v>1</v>
      </c>
      <c r="DH227">
        <v>1</v>
      </c>
      <c r="DI227">
        <v>0</v>
      </c>
      <c r="DJ227">
        <v>21</v>
      </c>
      <c r="DK227">
        <v>98</v>
      </c>
      <c r="DL227">
        <v>76</v>
      </c>
      <c r="DM227">
        <v>18</v>
      </c>
      <c r="DN227">
        <v>0</v>
      </c>
      <c r="DO227">
        <v>1</v>
      </c>
      <c r="DP227">
        <v>0</v>
      </c>
      <c r="DQ227">
        <v>1</v>
      </c>
      <c r="DR227">
        <v>1</v>
      </c>
      <c r="DS227">
        <v>0</v>
      </c>
      <c r="DT227">
        <v>0</v>
      </c>
      <c r="DU227">
        <v>1</v>
      </c>
      <c r="DV227">
        <v>98</v>
      </c>
      <c r="DW227">
        <v>4</v>
      </c>
      <c r="DX227">
        <v>2</v>
      </c>
      <c r="DY227">
        <v>1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1</v>
      </c>
      <c r="EG227">
        <v>0</v>
      </c>
      <c r="EH227">
        <v>4</v>
      </c>
      <c r="EI227">
        <v>1</v>
      </c>
      <c r="EJ227">
        <v>1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1</v>
      </c>
      <c r="ES227">
        <v>1</v>
      </c>
      <c r="ET227">
        <v>1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1</v>
      </c>
      <c r="FE227">
        <v>1</v>
      </c>
      <c r="FF227">
        <v>0</v>
      </c>
      <c r="FG227">
        <v>1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1</v>
      </c>
    </row>
    <row r="228" spans="1:172" ht="14.25">
      <c r="A228">
        <v>223</v>
      </c>
      <c r="B228" t="str">
        <f t="shared" si="43"/>
        <v>101201</v>
      </c>
      <c r="C228" t="str">
        <f t="shared" si="44"/>
        <v>m. Radomsko</v>
      </c>
      <c r="D228" t="str">
        <f t="shared" si="45"/>
        <v>radomszczański</v>
      </c>
      <c r="E228" t="str">
        <f t="shared" si="35"/>
        <v>łódzkie</v>
      </c>
      <c r="F228">
        <v>3</v>
      </c>
      <c r="G228" t="str">
        <f>"II Liceum Ogólnokształcące, ul. Bugaj 3, 97-500 Radomsko"</f>
        <v>II Liceum Ogólnokształcące, ul. Bugaj 3, 97-500 Radomsko</v>
      </c>
      <c r="H228">
        <v>1625</v>
      </c>
      <c r="I228">
        <v>1625</v>
      </c>
      <c r="J228">
        <v>0</v>
      </c>
      <c r="K228">
        <v>1150</v>
      </c>
      <c r="L228">
        <v>859</v>
      </c>
      <c r="M228">
        <v>291</v>
      </c>
      <c r="N228">
        <v>291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291</v>
      </c>
      <c r="Z228">
        <v>0</v>
      </c>
      <c r="AA228">
        <v>0</v>
      </c>
      <c r="AB228">
        <v>291</v>
      </c>
      <c r="AC228">
        <v>3</v>
      </c>
      <c r="AD228">
        <v>288</v>
      </c>
      <c r="AE228">
        <v>17</v>
      </c>
      <c r="AF228">
        <v>1</v>
      </c>
      <c r="AG228">
        <v>1</v>
      </c>
      <c r="AH228">
        <v>12</v>
      </c>
      <c r="AI228">
        <v>1</v>
      </c>
      <c r="AJ228">
        <v>1</v>
      </c>
      <c r="AK228">
        <v>0</v>
      </c>
      <c r="AL228">
        <v>0</v>
      </c>
      <c r="AM228">
        <v>0</v>
      </c>
      <c r="AN228">
        <v>1</v>
      </c>
      <c r="AO228">
        <v>0</v>
      </c>
      <c r="AP228">
        <v>17</v>
      </c>
      <c r="AQ228">
        <v>3</v>
      </c>
      <c r="AR228">
        <v>2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1</v>
      </c>
      <c r="AZ228">
        <v>0</v>
      </c>
      <c r="BA228">
        <v>0</v>
      </c>
      <c r="BB228">
        <v>3</v>
      </c>
      <c r="BC228">
        <v>23</v>
      </c>
      <c r="BD228">
        <v>13</v>
      </c>
      <c r="BE228">
        <v>4</v>
      </c>
      <c r="BF228">
        <v>1</v>
      </c>
      <c r="BG228">
        <v>0</v>
      </c>
      <c r="BH228">
        <v>0</v>
      </c>
      <c r="BI228">
        <v>1</v>
      </c>
      <c r="BJ228">
        <v>1</v>
      </c>
      <c r="BK228">
        <v>0</v>
      </c>
      <c r="BL228">
        <v>1</v>
      </c>
      <c r="BM228">
        <v>2</v>
      </c>
      <c r="BN228">
        <v>23</v>
      </c>
      <c r="BO228">
        <v>144</v>
      </c>
      <c r="BP228">
        <v>134</v>
      </c>
      <c r="BQ228">
        <v>1</v>
      </c>
      <c r="BR228">
        <v>4</v>
      </c>
      <c r="BS228">
        <v>0</v>
      </c>
      <c r="BT228">
        <v>0</v>
      </c>
      <c r="BU228">
        <v>1</v>
      </c>
      <c r="BV228">
        <v>1</v>
      </c>
      <c r="BW228">
        <v>0</v>
      </c>
      <c r="BX228">
        <v>0</v>
      </c>
      <c r="BY228">
        <v>3</v>
      </c>
      <c r="BZ228">
        <v>144</v>
      </c>
      <c r="CA228">
        <v>2</v>
      </c>
      <c r="CB228">
        <v>0</v>
      </c>
      <c r="CC228">
        <v>1</v>
      </c>
      <c r="CD228">
        <v>1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2</v>
      </c>
      <c r="CM228">
        <v>3</v>
      </c>
      <c r="CN228">
        <v>3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3</v>
      </c>
      <c r="CY228">
        <v>27</v>
      </c>
      <c r="CZ228">
        <v>12</v>
      </c>
      <c r="DA228">
        <v>4</v>
      </c>
      <c r="DB228">
        <v>1</v>
      </c>
      <c r="DC228">
        <v>0</v>
      </c>
      <c r="DD228">
        <v>0</v>
      </c>
      <c r="DE228">
        <v>2</v>
      </c>
      <c r="DF228">
        <v>1</v>
      </c>
      <c r="DG228">
        <v>1</v>
      </c>
      <c r="DH228">
        <v>0</v>
      </c>
      <c r="DI228">
        <v>6</v>
      </c>
      <c r="DJ228">
        <v>27</v>
      </c>
      <c r="DK228">
        <v>58</v>
      </c>
      <c r="DL228">
        <v>33</v>
      </c>
      <c r="DM228">
        <v>24</v>
      </c>
      <c r="DN228">
        <v>1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0</v>
      </c>
      <c r="DV228">
        <v>58</v>
      </c>
      <c r="DW228">
        <v>7</v>
      </c>
      <c r="DX228">
        <v>1</v>
      </c>
      <c r="DY228">
        <v>4</v>
      </c>
      <c r="DZ228">
        <v>0</v>
      </c>
      <c r="EA228">
        <v>0</v>
      </c>
      <c r="EB228">
        <v>0</v>
      </c>
      <c r="EC228">
        <v>2</v>
      </c>
      <c r="ED228">
        <v>0</v>
      </c>
      <c r="EE228">
        <v>0</v>
      </c>
      <c r="EF228">
        <v>0</v>
      </c>
      <c r="EG228">
        <v>0</v>
      </c>
      <c r="EH228">
        <v>7</v>
      </c>
      <c r="EI228">
        <v>2</v>
      </c>
      <c r="EJ228">
        <v>1</v>
      </c>
      <c r="EK228">
        <v>1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2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2</v>
      </c>
      <c r="FF228">
        <v>1</v>
      </c>
      <c r="FG228">
        <v>1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2</v>
      </c>
    </row>
    <row r="229" spans="1:172" ht="14.25">
      <c r="A229">
        <v>224</v>
      </c>
      <c r="B229" t="str">
        <f t="shared" si="43"/>
        <v>101201</v>
      </c>
      <c r="C229" t="str">
        <f t="shared" si="44"/>
        <v>m. Radomsko</v>
      </c>
      <c r="D229" t="str">
        <f t="shared" si="45"/>
        <v>radomszczański</v>
      </c>
      <c r="E229" t="str">
        <f t="shared" si="35"/>
        <v>łódzkie</v>
      </c>
      <c r="F229">
        <v>4</v>
      </c>
      <c r="G229" t="str">
        <f>"Zespół Szkolno-Gimnazjalny Nr 5, ul. Rolna 65, 97-500 Radomsko"</f>
        <v>Zespół Szkolno-Gimnazjalny Nr 5, ul. Rolna 65, 97-500 Radomsko</v>
      </c>
      <c r="H229">
        <v>1837</v>
      </c>
      <c r="I229">
        <v>1836</v>
      </c>
      <c r="J229">
        <v>1</v>
      </c>
      <c r="K229">
        <v>1300</v>
      </c>
      <c r="L229">
        <v>906</v>
      </c>
      <c r="M229">
        <v>394</v>
      </c>
      <c r="N229">
        <v>393</v>
      </c>
      <c r="O229">
        <v>1</v>
      </c>
      <c r="P229">
        <v>2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394</v>
      </c>
      <c r="Z229">
        <v>0</v>
      </c>
      <c r="AA229">
        <v>0</v>
      </c>
      <c r="AB229">
        <v>394</v>
      </c>
      <c r="AC229">
        <v>11</v>
      </c>
      <c r="AD229">
        <v>383</v>
      </c>
      <c r="AE229">
        <v>11</v>
      </c>
      <c r="AF229">
        <v>3</v>
      </c>
      <c r="AG229">
        <v>0</v>
      </c>
      <c r="AH229">
        <v>5</v>
      </c>
      <c r="AI229">
        <v>0</v>
      </c>
      <c r="AJ229">
        <v>0</v>
      </c>
      <c r="AK229">
        <v>0</v>
      </c>
      <c r="AL229">
        <v>1</v>
      </c>
      <c r="AM229">
        <v>0</v>
      </c>
      <c r="AN229">
        <v>1</v>
      </c>
      <c r="AO229">
        <v>1</v>
      </c>
      <c r="AP229">
        <v>11</v>
      </c>
      <c r="AQ229">
        <v>9</v>
      </c>
      <c r="AR229">
        <v>2</v>
      </c>
      <c r="AS229">
        <v>0</v>
      </c>
      <c r="AT229">
        <v>6</v>
      </c>
      <c r="AU229">
        <v>0</v>
      </c>
      <c r="AV229">
        <v>0</v>
      </c>
      <c r="AW229">
        <v>0</v>
      </c>
      <c r="AX229">
        <v>0</v>
      </c>
      <c r="AY229">
        <v>1</v>
      </c>
      <c r="AZ229">
        <v>0</v>
      </c>
      <c r="BA229">
        <v>0</v>
      </c>
      <c r="BB229">
        <v>9</v>
      </c>
      <c r="BC229">
        <v>27</v>
      </c>
      <c r="BD229">
        <v>17</v>
      </c>
      <c r="BE229">
        <v>2</v>
      </c>
      <c r="BF229">
        <v>0</v>
      </c>
      <c r="BG229">
        <v>0</v>
      </c>
      <c r="BH229">
        <v>2</v>
      </c>
      <c r="BI229">
        <v>1</v>
      </c>
      <c r="BJ229">
        <v>5</v>
      </c>
      <c r="BK229">
        <v>0</v>
      </c>
      <c r="BL229">
        <v>0</v>
      </c>
      <c r="BM229">
        <v>0</v>
      </c>
      <c r="BN229">
        <v>27</v>
      </c>
      <c r="BO229">
        <v>167</v>
      </c>
      <c r="BP229">
        <v>137</v>
      </c>
      <c r="BQ229">
        <v>11</v>
      </c>
      <c r="BR229">
        <v>13</v>
      </c>
      <c r="BS229">
        <v>0</v>
      </c>
      <c r="BT229">
        <v>4</v>
      </c>
      <c r="BU229">
        <v>1</v>
      </c>
      <c r="BV229">
        <v>0</v>
      </c>
      <c r="BW229">
        <v>0</v>
      </c>
      <c r="BX229">
        <v>0</v>
      </c>
      <c r="BY229">
        <v>1</v>
      </c>
      <c r="BZ229">
        <v>167</v>
      </c>
      <c r="CA229">
        <v>10</v>
      </c>
      <c r="CB229">
        <v>3</v>
      </c>
      <c r="CC229">
        <v>1</v>
      </c>
      <c r="CD229">
        <v>0</v>
      </c>
      <c r="CE229">
        <v>0</v>
      </c>
      <c r="CF229">
        <v>0</v>
      </c>
      <c r="CG229">
        <v>0</v>
      </c>
      <c r="CH229">
        <v>1</v>
      </c>
      <c r="CI229">
        <v>2</v>
      </c>
      <c r="CJ229">
        <v>3</v>
      </c>
      <c r="CK229">
        <v>0</v>
      </c>
      <c r="CL229">
        <v>10</v>
      </c>
      <c r="CM229">
        <v>11</v>
      </c>
      <c r="CN229">
        <v>4</v>
      </c>
      <c r="CO229">
        <v>2</v>
      </c>
      <c r="CP229">
        <v>2</v>
      </c>
      <c r="CQ229">
        <v>1</v>
      </c>
      <c r="CR229">
        <v>0</v>
      </c>
      <c r="CS229">
        <v>0</v>
      </c>
      <c r="CT229">
        <v>2</v>
      </c>
      <c r="CU229">
        <v>0</v>
      </c>
      <c r="CV229">
        <v>0</v>
      </c>
      <c r="CW229">
        <v>0</v>
      </c>
      <c r="CX229">
        <v>11</v>
      </c>
      <c r="CY229">
        <v>27</v>
      </c>
      <c r="CZ229">
        <v>21</v>
      </c>
      <c r="DA229">
        <v>2</v>
      </c>
      <c r="DB229">
        <v>0</v>
      </c>
      <c r="DC229">
        <v>2</v>
      </c>
      <c r="DD229">
        <v>0</v>
      </c>
      <c r="DE229">
        <v>1</v>
      </c>
      <c r="DF229">
        <v>0</v>
      </c>
      <c r="DG229">
        <v>0</v>
      </c>
      <c r="DH229">
        <v>0</v>
      </c>
      <c r="DI229">
        <v>1</v>
      </c>
      <c r="DJ229">
        <v>27</v>
      </c>
      <c r="DK229">
        <v>106</v>
      </c>
      <c r="DL229">
        <v>54</v>
      </c>
      <c r="DM229">
        <v>49</v>
      </c>
      <c r="DN229">
        <v>0</v>
      </c>
      <c r="DO229">
        <v>0</v>
      </c>
      <c r="DP229">
        <v>0</v>
      </c>
      <c r="DQ229">
        <v>0</v>
      </c>
      <c r="DR229">
        <v>3</v>
      </c>
      <c r="DS229">
        <v>0</v>
      </c>
      <c r="DT229">
        <v>0</v>
      </c>
      <c r="DU229">
        <v>0</v>
      </c>
      <c r="DV229">
        <v>106</v>
      </c>
      <c r="DW229">
        <v>12</v>
      </c>
      <c r="DX229">
        <v>4</v>
      </c>
      <c r="DY229">
        <v>3</v>
      </c>
      <c r="DZ229">
        <v>0</v>
      </c>
      <c r="EA229">
        <v>0</v>
      </c>
      <c r="EB229">
        <v>0</v>
      </c>
      <c r="EC229">
        <v>2</v>
      </c>
      <c r="ED229">
        <v>1</v>
      </c>
      <c r="EE229">
        <v>0</v>
      </c>
      <c r="EF229">
        <v>0</v>
      </c>
      <c r="EG229">
        <v>2</v>
      </c>
      <c r="EH229">
        <v>12</v>
      </c>
      <c r="EI229">
        <v>3</v>
      </c>
      <c r="EJ229">
        <v>1</v>
      </c>
      <c r="EK229">
        <v>1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1</v>
      </c>
      <c r="ER229">
        <v>3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</row>
    <row r="230" spans="1:172" ht="14.25">
      <c r="A230">
        <v>225</v>
      </c>
      <c r="B230" t="str">
        <f t="shared" si="43"/>
        <v>101201</v>
      </c>
      <c r="C230" t="str">
        <f t="shared" si="44"/>
        <v>m. Radomsko</v>
      </c>
      <c r="D230" t="str">
        <f t="shared" si="45"/>
        <v>radomszczański</v>
      </c>
      <c r="E230" t="str">
        <f t="shared" si="35"/>
        <v>łódzkie</v>
      </c>
      <c r="F230">
        <v>5</v>
      </c>
      <c r="G230" t="str">
        <f>"Specjalny Ośrodek Szkolno-Wychowawczy, ul. Piastowska 12, 97-500 Radomsko"</f>
        <v>Specjalny Ośrodek Szkolno-Wychowawczy, ul. Piastowska 12, 97-500 Radomsko</v>
      </c>
      <c r="H230">
        <v>1921</v>
      </c>
      <c r="I230">
        <v>1921</v>
      </c>
      <c r="J230">
        <v>0</v>
      </c>
      <c r="K230">
        <v>1360</v>
      </c>
      <c r="L230">
        <v>887</v>
      </c>
      <c r="M230">
        <v>473</v>
      </c>
      <c r="N230">
        <v>473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473</v>
      </c>
      <c r="Z230">
        <v>0</v>
      </c>
      <c r="AA230">
        <v>0</v>
      </c>
      <c r="AB230">
        <v>473</v>
      </c>
      <c r="AC230">
        <v>16</v>
      </c>
      <c r="AD230">
        <v>457</v>
      </c>
      <c r="AE230">
        <v>19</v>
      </c>
      <c r="AF230">
        <v>2</v>
      </c>
      <c r="AG230">
        <v>0</v>
      </c>
      <c r="AH230">
        <v>10</v>
      </c>
      <c r="AI230">
        <v>2</v>
      </c>
      <c r="AJ230">
        <v>2</v>
      </c>
      <c r="AK230">
        <v>0</v>
      </c>
      <c r="AL230">
        <v>0</v>
      </c>
      <c r="AM230">
        <v>0</v>
      </c>
      <c r="AN230">
        <v>2</v>
      </c>
      <c r="AO230">
        <v>1</v>
      </c>
      <c r="AP230">
        <v>19</v>
      </c>
      <c r="AQ230">
        <v>7</v>
      </c>
      <c r="AR230">
        <v>2</v>
      </c>
      <c r="AS230">
        <v>1</v>
      </c>
      <c r="AT230">
        <v>3</v>
      </c>
      <c r="AU230">
        <v>0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0</v>
      </c>
      <c r="BB230">
        <v>7</v>
      </c>
      <c r="BC230">
        <v>45</v>
      </c>
      <c r="BD230">
        <v>23</v>
      </c>
      <c r="BE230">
        <v>6</v>
      </c>
      <c r="BF230">
        <v>2</v>
      </c>
      <c r="BG230">
        <v>0</v>
      </c>
      <c r="BH230">
        <v>0</v>
      </c>
      <c r="BI230">
        <v>2</v>
      </c>
      <c r="BJ230">
        <v>4</v>
      </c>
      <c r="BK230">
        <v>2</v>
      </c>
      <c r="BL230">
        <v>2</v>
      </c>
      <c r="BM230">
        <v>4</v>
      </c>
      <c r="BN230">
        <v>45</v>
      </c>
      <c r="BO230">
        <v>187</v>
      </c>
      <c r="BP230">
        <v>173</v>
      </c>
      <c r="BQ230">
        <v>2</v>
      </c>
      <c r="BR230">
        <v>8</v>
      </c>
      <c r="BS230">
        <v>2</v>
      </c>
      <c r="BT230">
        <v>0</v>
      </c>
      <c r="BU230">
        <v>0</v>
      </c>
      <c r="BV230">
        <v>1</v>
      </c>
      <c r="BW230">
        <v>0</v>
      </c>
      <c r="BX230">
        <v>1</v>
      </c>
      <c r="BY230">
        <v>0</v>
      </c>
      <c r="BZ230">
        <v>187</v>
      </c>
      <c r="CA230">
        <v>11</v>
      </c>
      <c r="CB230">
        <v>3</v>
      </c>
      <c r="CC230">
        <v>2</v>
      </c>
      <c r="CD230">
        <v>1</v>
      </c>
      <c r="CE230">
        <v>0</v>
      </c>
      <c r="CF230">
        <v>0</v>
      </c>
      <c r="CG230">
        <v>0</v>
      </c>
      <c r="CH230">
        <v>0</v>
      </c>
      <c r="CI230">
        <v>2</v>
      </c>
      <c r="CJ230">
        <v>0</v>
      </c>
      <c r="CK230">
        <v>3</v>
      </c>
      <c r="CL230">
        <v>11</v>
      </c>
      <c r="CM230">
        <v>4</v>
      </c>
      <c r="CN230">
        <v>3</v>
      </c>
      <c r="CO230">
        <v>0</v>
      </c>
      <c r="CP230">
        <v>1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4</v>
      </c>
      <c r="CY230">
        <v>22</v>
      </c>
      <c r="CZ230">
        <v>15</v>
      </c>
      <c r="DA230">
        <v>0</v>
      </c>
      <c r="DB230">
        <v>0</v>
      </c>
      <c r="DC230">
        <v>1</v>
      </c>
      <c r="DD230">
        <v>1</v>
      </c>
      <c r="DE230">
        <v>0</v>
      </c>
      <c r="DF230">
        <v>0</v>
      </c>
      <c r="DG230">
        <v>1</v>
      </c>
      <c r="DH230">
        <v>3</v>
      </c>
      <c r="DI230">
        <v>1</v>
      </c>
      <c r="DJ230">
        <v>22</v>
      </c>
      <c r="DK230">
        <v>139</v>
      </c>
      <c r="DL230">
        <v>90</v>
      </c>
      <c r="DM230">
        <v>40</v>
      </c>
      <c r="DN230">
        <v>0</v>
      </c>
      <c r="DO230">
        <v>0</v>
      </c>
      <c r="DP230">
        <v>1</v>
      </c>
      <c r="DQ230">
        <v>0</v>
      </c>
      <c r="DR230">
        <v>1</v>
      </c>
      <c r="DS230">
        <v>0</v>
      </c>
      <c r="DT230">
        <v>2</v>
      </c>
      <c r="DU230">
        <v>5</v>
      </c>
      <c r="DV230">
        <v>139</v>
      </c>
      <c r="DW230">
        <v>17</v>
      </c>
      <c r="DX230">
        <v>5</v>
      </c>
      <c r="DY230">
        <v>4</v>
      </c>
      <c r="DZ230">
        <v>0</v>
      </c>
      <c r="EA230">
        <v>0</v>
      </c>
      <c r="EB230">
        <v>3</v>
      </c>
      <c r="EC230">
        <v>4</v>
      </c>
      <c r="ED230">
        <v>0</v>
      </c>
      <c r="EE230">
        <v>0</v>
      </c>
      <c r="EF230">
        <v>0</v>
      </c>
      <c r="EG230">
        <v>1</v>
      </c>
      <c r="EH230">
        <v>17</v>
      </c>
      <c r="EI230">
        <v>2</v>
      </c>
      <c r="EJ230">
        <v>0</v>
      </c>
      <c r="EK230">
        <v>1</v>
      </c>
      <c r="EL230">
        <v>0</v>
      </c>
      <c r="EM230">
        <v>0</v>
      </c>
      <c r="EN230">
        <v>1</v>
      </c>
      <c r="EO230">
        <v>0</v>
      </c>
      <c r="EP230">
        <v>0</v>
      </c>
      <c r="EQ230">
        <v>0</v>
      </c>
      <c r="ER230">
        <v>2</v>
      </c>
      <c r="ES230">
        <v>3</v>
      </c>
      <c r="ET230">
        <v>1</v>
      </c>
      <c r="EU230">
        <v>1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1</v>
      </c>
      <c r="FB230">
        <v>0</v>
      </c>
      <c r="FC230">
        <v>0</v>
      </c>
      <c r="FD230">
        <v>3</v>
      </c>
      <c r="FE230">
        <v>1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1</v>
      </c>
      <c r="FO230">
        <v>0</v>
      </c>
      <c r="FP230">
        <v>1</v>
      </c>
    </row>
    <row r="231" spans="1:172" ht="14.25">
      <c r="A231">
        <v>226</v>
      </c>
      <c r="B231" t="str">
        <f t="shared" si="43"/>
        <v>101201</v>
      </c>
      <c r="C231" t="str">
        <f t="shared" si="44"/>
        <v>m. Radomsko</v>
      </c>
      <c r="D231" t="str">
        <f t="shared" si="45"/>
        <v>radomszczański</v>
      </c>
      <c r="E231" t="str">
        <f t="shared" si="35"/>
        <v>łódzkie</v>
      </c>
      <c r="F231">
        <v>6</v>
      </c>
      <c r="G231" t="str">
        <f>"Zespół Szkolno-Gimnazjalny Nr 1, ul. Piastowska 17, 97-500 Radomsko"</f>
        <v>Zespół Szkolno-Gimnazjalny Nr 1, ul. Piastowska 17, 97-500 Radomsko</v>
      </c>
      <c r="H231">
        <v>2184</v>
      </c>
      <c r="I231">
        <v>2184</v>
      </c>
      <c r="J231">
        <v>0</v>
      </c>
      <c r="K231">
        <v>1540</v>
      </c>
      <c r="L231">
        <v>1051</v>
      </c>
      <c r="M231">
        <v>489</v>
      </c>
      <c r="N231">
        <v>489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489</v>
      </c>
      <c r="Z231">
        <v>0</v>
      </c>
      <c r="AA231">
        <v>0</v>
      </c>
      <c r="AB231">
        <v>489</v>
      </c>
      <c r="AC231">
        <v>13</v>
      </c>
      <c r="AD231">
        <v>476</v>
      </c>
      <c r="AE231">
        <v>33</v>
      </c>
      <c r="AF231">
        <v>2</v>
      </c>
      <c r="AG231">
        <v>1</v>
      </c>
      <c r="AH231">
        <v>29</v>
      </c>
      <c r="AI231">
        <v>1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33</v>
      </c>
      <c r="AQ231">
        <v>22</v>
      </c>
      <c r="AR231">
        <v>3</v>
      </c>
      <c r="AS231">
        <v>0</v>
      </c>
      <c r="AT231">
        <v>19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22</v>
      </c>
      <c r="BC231">
        <v>63</v>
      </c>
      <c r="BD231">
        <v>37</v>
      </c>
      <c r="BE231">
        <v>6</v>
      </c>
      <c r="BF231">
        <v>1</v>
      </c>
      <c r="BG231">
        <v>1</v>
      </c>
      <c r="BH231">
        <v>2</v>
      </c>
      <c r="BI231">
        <v>3</v>
      </c>
      <c r="BJ231">
        <v>4</v>
      </c>
      <c r="BK231">
        <v>0</v>
      </c>
      <c r="BL231">
        <v>1</v>
      </c>
      <c r="BM231">
        <v>8</v>
      </c>
      <c r="BN231">
        <v>63</v>
      </c>
      <c r="BO231">
        <v>147</v>
      </c>
      <c r="BP231">
        <v>122</v>
      </c>
      <c r="BQ231">
        <v>3</v>
      </c>
      <c r="BR231">
        <v>10</v>
      </c>
      <c r="BS231">
        <v>6</v>
      </c>
      <c r="BT231">
        <v>0</v>
      </c>
      <c r="BU231">
        <v>0</v>
      </c>
      <c r="BV231">
        <v>3</v>
      </c>
      <c r="BW231">
        <v>0</v>
      </c>
      <c r="BX231">
        <v>0</v>
      </c>
      <c r="BY231">
        <v>3</v>
      </c>
      <c r="BZ231">
        <v>147</v>
      </c>
      <c r="CA231">
        <v>10</v>
      </c>
      <c r="CB231">
        <v>6</v>
      </c>
      <c r="CC231">
        <v>0</v>
      </c>
      <c r="CD231">
        <v>0</v>
      </c>
      <c r="CE231">
        <v>2</v>
      </c>
      <c r="CF231">
        <v>0</v>
      </c>
      <c r="CG231">
        <v>0</v>
      </c>
      <c r="CH231">
        <v>0</v>
      </c>
      <c r="CI231">
        <v>2</v>
      </c>
      <c r="CJ231">
        <v>0</v>
      </c>
      <c r="CK231">
        <v>0</v>
      </c>
      <c r="CL231">
        <v>10</v>
      </c>
      <c r="CM231">
        <v>7</v>
      </c>
      <c r="CN231">
        <v>5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1</v>
      </c>
      <c r="CV231">
        <v>1</v>
      </c>
      <c r="CW231">
        <v>0</v>
      </c>
      <c r="CX231">
        <v>7</v>
      </c>
      <c r="CY231">
        <v>16</v>
      </c>
      <c r="CZ231">
        <v>10</v>
      </c>
      <c r="DA231">
        <v>1</v>
      </c>
      <c r="DB231">
        <v>0</v>
      </c>
      <c r="DC231">
        <v>3</v>
      </c>
      <c r="DD231">
        <v>0</v>
      </c>
      <c r="DE231">
        <v>1</v>
      </c>
      <c r="DF231">
        <v>0</v>
      </c>
      <c r="DG231">
        <v>0</v>
      </c>
      <c r="DH231">
        <v>1</v>
      </c>
      <c r="DI231">
        <v>0</v>
      </c>
      <c r="DJ231">
        <v>16</v>
      </c>
      <c r="DK231">
        <v>162</v>
      </c>
      <c r="DL231">
        <v>104</v>
      </c>
      <c r="DM231">
        <v>54</v>
      </c>
      <c r="DN231">
        <v>0</v>
      </c>
      <c r="DO231">
        <v>0</v>
      </c>
      <c r="DP231">
        <v>3</v>
      </c>
      <c r="DQ231">
        <v>0</v>
      </c>
      <c r="DR231">
        <v>1</v>
      </c>
      <c r="DS231">
        <v>0</v>
      </c>
      <c r="DT231">
        <v>0</v>
      </c>
      <c r="DU231">
        <v>0</v>
      </c>
      <c r="DV231">
        <v>162</v>
      </c>
      <c r="DW231">
        <v>9</v>
      </c>
      <c r="DX231">
        <v>3</v>
      </c>
      <c r="DY231">
        <v>4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1</v>
      </c>
      <c r="EF231">
        <v>1</v>
      </c>
      <c r="EG231">
        <v>0</v>
      </c>
      <c r="EH231">
        <v>9</v>
      </c>
      <c r="EI231">
        <v>4</v>
      </c>
      <c r="EJ231">
        <v>0</v>
      </c>
      <c r="EK231">
        <v>4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4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3</v>
      </c>
      <c r="FF231">
        <v>2</v>
      </c>
      <c r="FG231">
        <v>1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3</v>
      </c>
    </row>
    <row r="232" spans="1:172" ht="14.25">
      <c r="A232">
        <v>227</v>
      </c>
      <c r="B232" t="str">
        <f t="shared" si="43"/>
        <v>101201</v>
      </c>
      <c r="C232" t="str">
        <f t="shared" si="44"/>
        <v>m. Radomsko</v>
      </c>
      <c r="D232" t="str">
        <f t="shared" si="45"/>
        <v>radomszczański</v>
      </c>
      <c r="E232" t="str">
        <f t="shared" si="35"/>
        <v>łódzkie</v>
      </c>
      <c r="F232">
        <v>7</v>
      </c>
      <c r="G232" t="str">
        <f>"Bursa Szkolna Nr 1, ul. Piastowska 21, 97-500 Radomsko"</f>
        <v>Bursa Szkolna Nr 1, ul. Piastowska 21, 97-500 Radomsko</v>
      </c>
      <c r="H232">
        <v>2159</v>
      </c>
      <c r="I232">
        <v>2159</v>
      </c>
      <c r="J232">
        <v>0</v>
      </c>
      <c r="K232">
        <v>1520</v>
      </c>
      <c r="L232">
        <v>1014</v>
      </c>
      <c r="M232">
        <v>506</v>
      </c>
      <c r="N232">
        <v>506</v>
      </c>
      <c r="O232">
        <v>0</v>
      </c>
      <c r="P232">
        <v>0</v>
      </c>
      <c r="Q232">
        <v>3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506</v>
      </c>
      <c r="Z232">
        <v>0</v>
      </c>
      <c r="AA232">
        <v>0</v>
      </c>
      <c r="AB232">
        <v>506</v>
      </c>
      <c r="AC232">
        <v>8</v>
      </c>
      <c r="AD232">
        <v>498</v>
      </c>
      <c r="AE232">
        <v>18</v>
      </c>
      <c r="AF232">
        <v>0</v>
      </c>
      <c r="AG232">
        <v>0</v>
      </c>
      <c r="AH232">
        <v>17</v>
      </c>
      <c r="AI232">
        <v>1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18</v>
      </c>
      <c r="AQ232">
        <v>18</v>
      </c>
      <c r="AR232">
        <v>0</v>
      </c>
      <c r="AS232">
        <v>0</v>
      </c>
      <c r="AT232">
        <v>15</v>
      </c>
      <c r="AU232">
        <v>0</v>
      </c>
      <c r="AV232">
        <v>1</v>
      </c>
      <c r="AW232">
        <v>0</v>
      </c>
      <c r="AX232">
        <v>1</v>
      </c>
      <c r="AY232">
        <v>1</v>
      </c>
      <c r="AZ232">
        <v>0</v>
      </c>
      <c r="BA232">
        <v>0</v>
      </c>
      <c r="BB232">
        <v>18</v>
      </c>
      <c r="BC232">
        <v>58</v>
      </c>
      <c r="BD232">
        <v>25</v>
      </c>
      <c r="BE232">
        <v>6</v>
      </c>
      <c r="BF232">
        <v>1</v>
      </c>
      <c r="BG232">
        <v>1</v>
      </c>
      <c r="BH232">
        <v>3</v>
      </c>
      <c r="BI232">
        <v>4</v>
      </c>
      <c r="BJ232">
        <v>13</v>
      </c>
      <c r="BK232">
        <v>0</v>
      </c>
      <c r="BL232">
        <v>2</v>
      </c>
      <c r="BM232">
        <v>3</v>
      </c>
      <c r="BN232">
        <v>58</v>
      </c>
      <c r="BO232">
        <v>166</v>
      </c>
      <c r="BP232">
        <v>155</v>
      </c>
      <c r="BQ232">
        <v>1</v>
      </c>
      <c r="BR232">
        <v>4</v>
      </c>
      <c r="BS232">
        <v>2</v>
      </c>
      <c r="BT232">
        <v>1</v>
      </c>
      <c r="BU232">
        <v>0</v>
      </c>
      <c r="BV232">
        <v>0</v>
      </c>
      <c r="BW232">
        <v>1</v>
      </c>
      <c r="BX232">
        <v>0</v>
      </c>
      <c r="BY232">
        <v>2</v>
      </c>
      <c r="BZ232">
        <v>166</v>
      </c>
      <c r="CA232">
        <v>11</v>
      </c>
      <c r="CB232">
        <v>4</v>
      </c>
      <c r="CC232">
        <v>4</v>
      </c>
      <c r="CD232">
        <v>1</v>
      </c>
      <c r="CE232">
        <v>0</v>
      </c>
      <c r="CF232">
        <v>0</v>
      </c>
      <c r="CG232">
        <v>0</v>
      </c>
      <c r="CH232">
        <v>1</v>
      </c>
      <c r="CI232">
        <v>0</v>
      </c>
      <c r="CJ232">
        <v>0</v>
      </c>
      <c r="CK232">
        <v>1</v>
      </c>
      <c r="CL232">
        <v>11</v>
      </c>
      <c r="CM232">
        <v>6</v>
      </c>
      <c r="CN232">
        <v>2</v>
      </c>
      <c r="CO232">
        <v>2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1</v>
      </c>
      <c r="CW232">
        <v>1</v>
      </c>
      <c r="CX232">
        <v>6</v>
      </c>
      <c r="CY232">
        <v>24</v>
      </c>
      <c r="CZ232">
        <v>15</v>
      </c>
      <c r="DA232">
        <v>5</v>
      </c>
      <c r="DB232">
        <v>0</v>
      </c>
      <c r="DC232">
        <v>0</v>
      </c>
      <c r="DD232">
        <v>2</v>
      </c>
      <c r="DE232">
        <v>0</v>
      </c>
      <c r="DF232">
        <v>0</v>
      </c>
      <c r="DG232">
        <v>2</v>
      </c>
      <c r="DH232">
        <v>0</v>
      </c>
      <c r="DI232">
        <v>0</v>
      </c>
      <c r="DJ232">
        <v>24</v>
      </c>
      <c r="DK232">
        <v>172</v>
      </c>
      <c r="DL232">
        <v>104</v>
      </c>
      <c r="DM232">
        <v>58</v>
      </c>
      <c r="DN232">
        <v>0</v>
      </c>
      <c r="DO232">
        <v>1</v>
      </c>
      <c r="DP232">
        <v>0</v>
      </c>
      <c r="DQ232">
        <v>2</v>
      </c>
      <c r="DR232">
        <v>3</v>
      </c>
      <c r="DS232">
        <v>1</v>
      </c>
      <c r="DT232">
        <v>2</v>
      </c>
      <c r="DU232">
        <v>1</v>
      </c>
      <c r="DV232">
        <v>172</v>
      </c>
      <c r="DW232">
        <v>12</v>
      </c>
      <c r="DX232">
        <v>5</v>
      </c>
      <c r="DY232">
        <v>2</v>
      </c>
      <c r="DZ232">
        <v>0</v>
      </c>
      <c r="EA232">
        <v>0</v>
      </c>
      <c r="EB232">
        <v>0</v>
      </c>
      <c r="EC232">
        <v>0</v>
      </c>
      <c r="ED232">
        <v>3</v>
      </c>
      <c r="EE232">
        <v>0</v>
      </c>
      <c r="EF232">
        <v>0</v>
      </c>
      <c r="EG232">
        <v>2</v>
      </c>
      <c r="EH232">
        <v>12</v>
      </c>
      <c r="EI232">
        <v>7</v>
      </c>
      <c r="EJ232">
        <v>0</v>
      </c>
      <c r="EK232">
        <v>7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7</v>
      </c>
      <c r="ES232">
        <v>1</v>
      </c>
      <c r="ET232">
        <v>1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1</v>
      </c>
      <c r="FE232">
        <v>5</v>
      </c>
      <c r="FF232">
        <v>1</v>
      </c>
      <c r="FG232">
        <v>0</v>
      </c>
      <c r="FH232">
        <v>0</v>
      </c>
      <c r="FI232">
        <v>0</v>
      </c>
      <c r="FJ232">
        <v>1</v>
      </c>
      <c r="FK232">
        <v>0</v>
      </c>
      <c r="FL232">
        <v>0</v>
      </c>
      <c r="FM232">
        <v>0</v>
      </c>
      <c r="FN232">
        <v>1</v>
      </c>
      <c r="FO232">
        <v>2</v>
      </c>
      <c r="FP232">
        <v>5</v>
      </c>
    </row>
    <row r="233" spans="1:172" ht="14.25">
      <c r="A233">
        <v>228</v>
      </c>
      <c r="B233" t="str">
        <f t="shared" si="43"/>
        <v>101201</v>
      </c>
      <c r="C233" t="str">
        <f t="shared" si="44"/>
        <v>m. Radomsko</v>
      </c>
      <c r="D233" t="str">
        <f t="shared" si="45"/>
        <v>radomszczański</v>
      </c>
      <c r="E233" t="str">
        <f t="shared" si="35"/>
        <v>łódzkie</v>
      </c>
      <c r="F233">
        <v>8</v>
      </c>
      <c r="G233" t="str">
        <f>"I Liceum Ogólnokształcące, ul. Armii Krajowej 30, 97-500 Radomsko"</f>
        <v>I Liceum Ogólnokształcące, ul. Armii Krajowej 30, 97-500 Radomsko</v>
      </c>
      <c r="H233">
        <v>2296</v>
      </c>
      <c r="I233">
        <v>2296</v>
      </c>
      <c r="J233">
        <v>0</v>
      </c>
      <c r="K233">
        <v>1620</v>
      </c>
      <c r="L233">
        <v>1101</v>
      </c>
      <c r="M233">
        <v>519</v>
      </c>
      <c r="N233">
        <v>519</v>
      </c>
      <c r="O233">
        <v>0</v>
      </c>
      <c r="P233">
        <v>1</v>
      </c>
      <c r="Q233">
        <v>3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519</v>
      </c>
      <c r="Z233">
        <v>0</v>
      </c>
      <c r="AA233">
        <v>0</v>
      </c>
      <c r="AB233">
        <v>519</v>
      </c>
      <c r="AC233">
        <v>16</v>
      </c>
      <c r="AD233">
        <v>503</v>
      </c>
      <c r="AE233">
        <v>32</v>
      </c>
      <c r="AF233">
        <v>2</v>
      </c>
      <c r="AG233">
        <v>1</v>
      </c>
      <c r="AH233">
        <v>26</v>
      </c>
      <c r="AI233">
        <v>0</v>
      </c>
      <c r="AJ233">
        <v>0</v>
      </c>
      <c r="AK233">
        <v>2</v>
      </c>
      <c r="AL233">
        <v>0</v>
      </c>
      <c r="AM233">
        <v>0</v>
      </c>
      <c r="AN233">
        <v>0</v>
      </c>
      <c r="AO233">
        <v>1</v>
      </c>
      <c r="AP233">
        <v>32</v>
      </c>
      <c r="AQ233">
        <v>11</v>
      </c>
      <c r="AR233">
        <v>0</v>
      </c>
      <c r="AS233">
        <v>0</v>
      </c>
      <c r="AT233">
        <v>4</v>
      </c>
      <c r="AU233">
        <v>0</v>
      </c>
      <c r="AV233">
        <v>0</v>
      </c>
      <c r="AW233">
        <v>0</v>
      </c>
      <c r="AX233">
        <v>7</v>
      </c>
      <c r="AY233">
        <v>0</v>
      </c>
      <c r="AZ233">
        <v>0</v>
      </c>
      <c r="BA233">
        <v>0</v>
      </c>
      <c r="BB233">
        <v>11</v>
      </c>
      <c r="BC233">
        <v>46</v>
      </c>
      <c r="BD233">
        <v>22</v>
      </c>
      <c r="BE233">
        <v>5</v>
      </c>
      <c r="BF233">
        <v>1</v>
      </c>
      <c r="BG233">
        <v>2</v>
      </c>
      <c r="BH233">
        <v>2</v>
      </c>
      <c r="BI233">
        <v>2</v>
      </c>
      <c r="BJ233">
        <v>4</v>
      </c>
      <c r="BK233">
        <v>0</v>
      </c>
      <c r="BL233">
        <v>1</v>
      </c>
      <c r="BM233">
        <v>7</v>
      </c>
      <c r="BN233">
        <v>46</v>
      </c>
      <c r="BO233">
        <v>212</v>
      </c>
      <c r="BP233">
        <v>185</v>
      </c>
      <c r="BQ233">
        <v>8</v>
      </c>
      <c r="BR233">
        <v>6</v>
      </c>
      <c r="BS233">
        <v>1</v>
      </c>
      <c r="BT233">
        <v>4</v>
      </c>
      <c r="BU233">
        <v>2</v>
      </c>
      <c r="BV233">
        <v>2</v>
      </c>
      <c r="BW233">
        <v>3</v>
      </c>
      <c r="BX233">
        <v>0</v>
      </c>
      <c r="BY233">
        <v>1</v>
      </c>
      <c r="BZ233">
        <v>212</v>
      </c>
      <c r="CA233">
        <v>6</v>
      </c>
      <c r="CB233">
        <v>2</v>
      </c>
      <c r="CC233">
        <v>1</v>
      </c>
      <c r="CD233">
        <v>0</v>
      </c>
      <c r="CE233">
        <v>2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6</v>
      </c>
      <c r="CM233">
        <v>7</v>
      </c>
      <c r="CN233">
        <v>7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7</v>
      </c>
      <c r="CY233">
        <v>17</v>
      </c>
      <c r="CZ233">
        <v>11</v>
      </c>
      <c r="DA233">
        <v>2</v>
      </c>
      <c r="DB233">
        <v>0</v>
      </c>
      <c r="DC233">
        <v>1</v>
      </c>
      <c r="DD233">
        <v>0</v>
      </c>
      <c r="DE233">
        <v>0</v>
      </c>
      <c r="DF233">
        <v>1</v>
      </c>
      <c r="DG233">
        <v>1</v>
      </c>
      <c r="DH233">
        <v>1</v>
      </c>
      <c r="DI233">
        <v>0</v>
      </c>
      <c r="DJ233">
        <v>17</v>
      </c>
      <c r="DK233">
        <v>165</v>
      </c>
      <c r="DL233">
        <v>104</v>
      </c>
      <c r="DM233">
        <v>51</v>
      </c>
      <c r="DN233">
        <v>2</v>
      </c>
      <c r="DO233">
        <v>3</v>
      </c>
      <c r="DP233">
        <v>0</v>
      </c>
      <c r="DQ233">
        <v>1</v>
      </c>
      <c r="DR233">
        <v>2</v>
      </c>
      <c r="DS233">
        <v>0</v>
      </c>
      <c r="DT233">
        <v>2</v>
      </c>
      <c r="DU233">
        <v>0</v>
      </c>
      <c r="DV233">
        <v>165</v>
      </c>
      <c r="DW233">
        <v>6</v>
      </c>
      <c r="DX233">
        <v>4</v>
      </c>
      <c r="DY233">
        <v>1</v>
      </c>
      <c r="DZ233">
        <v>0</v>
      </c>
      <c r="EA233">
        <v>0</v>
      </c>
      <c r="EB233">
        <v>0</v>
      </c>
      <c r="EC233">
        <v>0</v>
      </c>
      <c r="ED233">
        <v>1</v>
      </c>
      <c r="EE233">
        <v>0</v>
      </c>
      <c r="EF233">
        <v>0</v>
      </c>
      <c r="EG233">
        <v>0</v>
      </c>
      <c r="EH233">
        <v>6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1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1</v>
      </c>
      <c r="FN233">
        <v>0</v>
      </c>
      <c r="FO233">
        <v>0</v>
      </c>
      <c r="FP233">
        <v>1</v>
      </c>
    </row>
    <row r="234" spans="1:172" ht="14.25">
      <c r="A234">
        <v>229</v>
      </c>
      <c r="B234" t="str">
        <f t="shared" si="43"/>
        <v>101201</v>
      </c>
      <c r="C234" t="str">
        <f t="shared" si="44"/>
        <v>m. Radomsko</v>
      </c>
      <c r="D234" t="str">
        <f t="shared" si="45"/>
        <v>radomszczański</v>
      </c>
      <c r="E234" t="str">
        <f t="shared" si="35"/>
        <v>łódzkie</v>
      </c>
      <c r="F234">
        <v>9</v>
      </c>
      <c r="G234" t="str">
        <f>"Zespół Szkolno-Gimnazjalny Nr 4, ul. Świętej Jadwigi Królowej 20, 97-500 Radomsko"</f>
        <v>Zespół Szkolno-Gimnazjalny Nr 4, ul. Świętej Jadwigi Królowej 20, 97-500 Radomsko</v>
      </c>
      <c r="H234">
        <v>1873</v>
      </c>
      <c r="I234">
        <v>1873</v>
      </c>
      <c r="J234">
        <v>0</v>
      </c>
      <c r="K234">
        <v>1330</v>
      </c>
      <c r="L234">
        <v>938</v>
      </c>
      <c r="M234">
        <v>392</v>
      </c>
      <c r="N234">
        <v>392</v>
      </c>
      <c r="O234">
        <v>0</v>
      </c>
      <c r="P234">
        <v>0</v>
      </c>
      <c r="Q234">
        <v>2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392</v>
      </c>
      <c r="Z234">
        <v>0</v>
      </c>
      <c r="AA234">
        <v>0</v>
      </c>
      <c r="AB234">
        <v>392</v>
      </c>
      <c r="AC234">
        <v>16</v>
      </c>
      <c r="AD234">
        <v>376</v>
      </c>
      <c r="AE234">
        <v>17</v>
      </c>
      <c r="AF234">
        <v>1</v>
      </c>
      <c r="AG234">
        <v>0</v>
      </c>
      <c r="AH234">
        <v>15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1</v>
      </c>
      <c r="AO234">
        <v>0</v>
      </c>
      <c r="AP234">
        <v>17</v>
      </c>
      <c r="AQ234">
        <v>9</v>
      </c>
      <c r="AR234">
        <v>1</v>
      </c>
      <c r="AS234">
        <v>0</v>
      </c>
      <c r="AT234">
        <v>8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9</v>
      </c>
      <c r="BC234">
        <v>38</v>
      </c>
      <c r="BD234">
        <v>23</v>
      </c>
      <c r="BE234">
        <v>3</v>
      </c>
      <c r="BF234">
        <v>0</v>
      </c>
      <c r="BG234">
        <v>1</v>
      </c>
      <c r="BH234">
        <v>1</v>
      </c>
      <c r="BI234">
        <v>1</v>
      </c>
      <c r="BJ234">
        <v>6</v>
      </c>
      <c r="BK234">
        <v>0</v>
      </c>
      <c r="BL234">
        <v>1</v>
      </c>
      <c r="BM234">
        <v>2</v>
      </c>
      <c r="BN234">
        <v>38</v>
      </c>
      <c r="BO234">
        <v>118</v>
      </c>
      <c r="BP234">
        <v>103</v>
      </c>
      <c r="BQ234">
        <v>4</v>
      </c>
      <c r="BR234">
        <v>4</v>
      </c>
      <c r="BS234">
        <v>2</v>
      </c>
      <c r="BT234">
        <v>1</v>
      </c>
      <c r="BU234">
        <v>1</v>
      </c>
      <c r="BV234">
        <v>0</v>
      </c>
      <c r="BW234">
        <v>1</v>
      </c>
      <c r="BX234">
        <v>2</v>
      </c>
      <c r="BY234">
        <v>0</v>
      </c>
      <c r="BZ234">
        <v>118</v>
      </c>
      <c r="CA234">
        <v>10</v>
      </c>
      <c r="CB234">
        <v>5</v>
      </c>
      <c r="CC234">
        <v>1</v>
      </c>
      <c r="CD234">
        <v>0</v>
      </c>
      <c r="CE234">
        <v>2</v>
      </c>
      <c r="CF234">
        <v>1</v>
      </c>
      <c r="CG234">
        <v>0</v>
      </c>
      <c r="CH234">
        <v>0</v>
      </c>
      <c r="CI234">
        <v>1</v>
      </c>
      <c r="CJ234">
        <v>0</v>
      </c>
      <c r="CK234">
        <v>0</v>
      </c>
      <c r="CL234">
        <v>10</v>
      </c>
      <c r="CM234">
        <v>8</v>
      </c>
      <c r="CN234">
        <v>4</v>
      </c>
      <c r="CO234">
        <v>1</v>
      </c>
      <c r="CP234">
        <v>1</v>
      </c>
      <c r="CQ234">
        <v>1</v>
      </c>
      <c r="CR234">
        <v>1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8</v>
      </c>
      <c r="CY234">
        <v>48</v>
      </c>
      <c r="CZ234">
        <v>26</v>
      </c>
      <c r="DA234">
        <v>8</v>
      </c>
      <c r="DB234">
        <v>2</v>
      </c>
      <c r="DC234">
        <v>5</v>
      </c>
      <c r="DD234">
        <v>2</v>
      </c>
      <c r="DE234">
        <v>0</v>
      </c>
      <c r="DF234">
        <v>1</v>
      </c>
      <c r="DG234">
        <v>1</v>
      </c>
      <c r="DH234">
        <v>2</v>
      </c>
      <c r="DI234">
        <v>1</v>
      </c>
      <c r="DJ234">
        <v>48</v>
      </c>
      <c r="DK234">
        <v>113</v>
      </c>
      <c r="DL234">
        <v>64</v>
      </c>
      <c r="DM234">
        <v>46</v>
      </c>
      <c r="DN234">
        <v>1</v>
      </c>
      <c r="DO234">
        <v>0</v>
      </c>
      <c r="DP234">
        <v>1</v>
      </c>
      <c r="DQ234">
        <v>1</v>
      </c>
      <c r="DR234">
        <v>0</v>
      </c>
      <c r="DS234">
        <v>0</v>
      </c>
      <c r="DT234">
        <v>0</v>
      </c>
      <c r="DU234">
        <v>0</v>
      </c>
      <c r="DV234">
        <v>113</v>
      </c>
      <c r="DW234">
        <v>10</v>
      </c>
      <c r="DX234">
        <v>2</v>
      </c>
      <c r="DY234">
        <v>2</v>
      </c>
      <c r="DZ234">
        <v>0</v>
      </c>
      <c r="EA234">
        <v>0</v>
      </c>
      <c r="EB234">
        <v>2</v>
      </c>
      <c r="EC234">
        <v>0</v>
      </c>
      <c r="ED234">
        <v>0</v>
      </c>
      <c r="EE234">
        <v>4</v>
      </c>
      <c r="EF234">
        <v>0</v>
      </c>
      <c r="EG234">
        <v>0</v>
      </c>
      <c r="EH234">
        <v>10</v>
      </c>
      <c r="EI234">
        <v>4</v>
      </c>
      <c r="EJ234">
        <v>0</v>
      </c>
      <c r="EK234">
        <v>4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4</v>
      </c>
      <c r="ES234">
        <v>0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1</v>
      </c>
      <c r="FF234">
        <v>0</v>
      </c>
      <c r="FG234">
        <v>1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1</v>
      </c>
    </row>
    <row r="235" spans="1:172" ht="14.25">
      <c r="A235">
        <v>230</v>
      </c>
      <c r="B235" t="str">
        <f t="shared" si="43"/>
        <v>101201</v>
      </c>
      <c r="C235" t="str">
        <f t="shared" si="44"/>
        <v>m. Radomsko</v>
      </c>
      <c r="D235" t="str">
        <f t="shared" si="45"/>
        <v>radomszczański</v>
      </c>
      <c r="E235" t="str">
        <f t="shared" si="35"/>
        <v>łódzkie</v>
      </c>
      <c r="F235">
        <v>10</v>
      </c>
      <c r="G235" t="str">
        <f>"Zespół Szkolno-Gimnazjalny Nr 4, ul. Świętej Jadwigi Królowej 20, 97-500 Radomsko"</f>
        <v>Zespół Szkolno-Gimnazjalny Nr 4, ul. Świętej Jadwigi Królowej 20, 97-500 Radomsko</v>
      </c>
      <c r="H235">
        <v>1329</v>
      </c>
      <c r="I235">
        <v>1329</v>
      </c>
      <c r="J235">
        <v>0</v>
      </c>
      <c r="K235">
        <v>940</v>
      </c>
      <c r="L235">
        <v>642</v>
      </c>
      <c r="M235">
        <v>298</v>
      </c>
      <c r="N235">
        <v>298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298</v>
      </c>
      <c r="Z235">
        <v>0</v>
      </c>
      <c r="AA235">
        <v>0</v>
      </c>
      <c r="AB235">
        <v>298</v>
      </c>
      <c r="AC235">
        <v>10</v>
      </c>
      <c r="AD235">
        <v>288</v>
      </c>
      <c r="AE235">
        <v>8</v>
      </c>
      <c r="AF235">
        <v>3</v>
      </c>
      <c r="AG235">
        <v>1</v>
      </c>
      <c r="AH235">
        <v>2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1</v>
      </c>
      <c r="AO235">
        <v>1</v>
      </c>
      <c r="AP235">
        <v>8</v>
      </c>
      <c r="AQ235">
        <v>7</v>
      </c>
      <c r="AR235">
        <v>3</v>
      </c>
      <c r="AS235">
        <v>1</v>
      </c>
      <c r="AT235">
        <v>2</v>
      </c>
      <c r="AU235">
        <v>0</v>
      </c>
      <c r="AV235">
        <v>0</v>
      </c>
      <c r="AW235">
        <v>0</v>
      </c>
      <c r="AX235">
        <v>1</v>
      </c>
      <c r="AY235">
        <v>0</v>
      </c>
      <c r="AZ235">
        <v>0</v>
      </c>
      <c r="BA235">
        <v>0</v>
      </c>
      <c r="BB235">
        <v>7</v>
      </c>
      <c r="BC235">
        <v>33</v>
      </c>
      <c r="BD235">
        <v>14</v>
      </c>
      <c r="BE235">
        <v>1</v>
      </c>
      <c r="BF235">
        <v>2</v>
      </c>
      <c r="BG235">
        <v>0</v>
      </c>
      <c r="BH235">
        <v>0</v>
      </c>
      <c r="BI235">
        <v>2</v>
      </c>
      <c r="BJ235">
        <v>6</v>
      </c>
      <c r="BK235">
        <v>0</v>
      </c>
      <c r="BL235">
        <v>2</v>
      </c>
      <c r="BM235">
        <v>6</v>
      </c>
      <c r="BN235">
        <v>33</v>
      </c>
      <c r="BO235">
        <v>89</v>
      </c>
      <c r="BP235">
        <v>79</v>
      </c>
      <c r="BQ235">
        <v>7</v>
      </c>
      <c r="BR235">
        <v>1</v>
      </c>
      <c r="BS235">
        <v>1</v>
      </c>
      <c r="BT235">
        <v>0</v>
      </c>
      <c r="BU235">
        <v>0</v>
      </c>
      <c r="BV235">
        <v>1</v>
      </c>
      <c r="BW235">
        <v>0</v>
      </c>
      <c r="BX235">
        <v>0</v>
      </c>
      <c r="BY235">
        <v>0</v>
      </c>
      <c r="BZ235">
        <v>89</v>
      </c>
      <c r="CA235">
        <v>10</v>
      </c>
      <c r="CB235">
        <v>4</v>
      </c>
      <c r="CC235">
        <v>1</v>
      </c>
      <c r="CD235">
        <v>1</v>
      </c>
      <c r="CE235">
        <v>1</v>
      </c>
      <c r="CF235">
        <v>0</v>
      </c>
      <c r="CG235">
        <v>0</v>
      </c>
      <c r="CH235">
        <v>1</v>
      </c>
      <c r="CI235">
        <v>1</v>
      </c>
      <c r="CJ235">
        <v>1</v>
      </c>
      <c r="CK235">
        <v>0</v>
      </c>
      <c r="CL235">
        <v>10</v>
      </c>
      <c r="CM235">
        <v>3</v>
      </c>
      <c r="CN235">
        <v>3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3</v>
      </c>
      <c r="CY235">
        <v>24</v>
      </c>
      <c r="CZ235">
        <v>17</v>
      </c>
      <c r="DA235">
        <v>2</v>
      </c>
      <c r="DB235">
        <v>0</v>
      </c>
      <c r="DC235">
        <v>0</v>
      </c>
      <c r="DD235">
        <v>1</v>
      </c>
      <c r="DE235">
        <v>1</v>
      </c>
      <c r="DF235">
        <v>0</v>
      </c>
      <c r="DG235">
        <v>1</v>
      </c>
      <c r="DH235">
        <v>1</v>
      </c>
      <c r="DI235">
        <v>1</v>
      </c>
      <c r="DJ235">
        <v>24</v>
      </c>
      <c r="DK235">
        <v>104</v>
      </c>
      <c r="DL235">
        <v>54</v>
      </c>
      <c r="DM235">
        <v>41</v>
      </c>
      <c r="DN235">
        <v>2</v>
      </c>
      <c r="DO235">
        <v>0</v>
      </c>
      <c r="DP235">
        <v>0</v>
      </c>
      <c r="DQ235">
        <v>3</v>
      </c>
      <c r="DR235">
        <v>2</v>
      </c>
      <c r="DS235">
        <v>0</v>
      </c>
      <c r="DT235">
        <v>1</v>
      </c>
      <c r="DU235">
        <v>1</v>
      </c>
      <c r="DV235">
        <v>104</v>
      </c>
      <c r="DW235">
        <v>5</v>
      </c>
      <c r="DX235">
        <v>0</v>
      </c>
      <c r="DY235">
        <v>0</v>
      </c>
      <c r="DZ235">
        <v>0</v>
      </c>
      <c r="EA235">
        <v>2</v>
      </c>
      <c r="EB235">
        <v>1</v>
      </c>
      <c r="EC235">
        <v>0</v>
      </c>
      <c r="ED235">
        <v>0</v>
      </c>
      <c r="EE235">
        <v>0</v>
      </c>
      <c r="EF235">
        <v>2</v>
      </c>
      <c r="EG235">
        <v>0</v>
      </c>
      <c r="EH235">
        <v>5</v>
      </c>
      <c r="EI235">
        <v>4</v>
      </c>
      <c r="EJ235">
        <v>0</v>
      </c>
      <c r="EK235">
        <v>2</v>
      </c>
      <c r="EL235">
        <v>1</v>
      </c>
      <c r="EM235">
        <v>0</v>
      </c>
      <c r="EN235">
        <v>0</v>
      </c>
      <c r="EO235">
        <v>1</v>
      </c>
      <c r="EP235">
        <v>0</v>
      </c>
      <c r="EQ235">
        <v>0</v>
      </c>
      <c r="ER235">
        <v>4</v>
      </c>
      <c r="ES235">
        <v>1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1</v>
      </c>
      <c r="FD235">
        <v>1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</row>
    <row r="236" spans="1:172" ht="14.25">
      <c r="A236">
        <v>231</v>
      </c>
      <c r="B236" t="str">
        <f t="shared" si="43"/>
        <v>101201</v>
      </c>
      <c r="C236" t="str">
        <f t="shared" si="44"/>
        <v>m. Radomsko</v>
      </c>
      <c r="D236" t="str">
        <f t="shared" si="45"/>
        <v>radomszczański</v>
      </c>
      <c r="E236" t="str">
        <f t="shared" si="35"/>
        <v>łódzkie</v>
      </c>
      <c r="F236">
        <v>11</v>
      </c>
      <c r="G236" t="str">
        <f>"Publiczna Szkoła Podstawowa Nr 3, ul. Dąbrowskiej 27, 97-500 Radomsko"</f>
        <v>Publiczna Szkoła Podstawowa Nr 3, ul. Dąbrowskiej 27, 97-500 Radomsko</v>
      </c>
      <c r="H236">
        <v>1226</v>
      </c>
      <c r="I236">
        <v>1226</v>
      </c>
      <c r="J236">
        <v>0</v>
      </c>
      <c r="K236">
        <v>860</v>
      </c>
      <c r="L236">
        <v>625</v>
      </c>
      <c r="M236">
        <v>235</v>
      </c>
      <c r="N236">
        <v>235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235</v>
      </c>
      <c r="Z236">
        <v>0</v>
      </c>
      <c r="AA236">
        <v>0</v>
      </c>
      <c r="AB236">
        <v>235</v>
      </c>
      <c r="AC236">
        <v>7</v>
      </c>
      <c r="AD236">
        <v>228</v>
      </c>
      <c r="AE236">
        <v>9</v>
      </c>
      <c r="AF236">
        <v>1</v>
      </c>
      <c r="AG236">
        <v>0</v>
      </c>
      <c r="AH236">
        <v>4</v>
      </c>
      <c r="AI236">
        <v>1</v>
      </c>
      <c r="AJ236">
        <v>0</v>
      </c>
      <c r="AK236">
        <v>0</v>
      </c>
      <c r="AL236">
        <v>0</v>
      </c>
      <c r="AM236">
        <v>1</v>
      </c>
      <c r="AN236">
        <v>0</v>
      </c>
      <c r="AO236">
        <v>2</v>
      </c>
      <c r="AP236">
        <v>9</v>
      </c>
      <c r="AQ236">
        <v>11</v>
      </c>
      <c r="AR236">
        <v>0</v>
      </c>
      <c r="AS236">
        <v>0</v>
      </c>
      <c r="AT236">
        <v>9</v>
      </c>
      <c r="AU236">
        <v>0</v>
      </c>
      <c r="AV236">
        <v>0</v>
      </c>
      <c r="AW236">
        <v>0</v>
      </c>
      <c r="AX236">
        <v>1</v>
      </c>
      <c r="AY236">
        <v>0</v>
      </c>
      <c r="AZ236">
        <v>1</v>
      </c>
      <c r="BA236">
        <v>0</v>
      </c>
      <c r="BB236">
        <v>11</v>
      </c>
      <c r="BC236">
        <v>3</v>
      </c>
      <c r="BD236">
        <v>3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3</v>
      </c>
      <c r="BO236">
        <v>106</v>
      </c>
      <c r="BP236">
        <v>98</v>
      </c>
      <c r="BQ236">
        <v>1</v>
      </c>
      <c r="BR236">
        <v>1</v>
      </c>
      <c r="BS236">
        <v>0</v>
      </c>
      <c r="BT236">
        <v>0</v>
      </c>
      <c r="BU236">
        <v>2</v>
      </c>
      <c r="BV236">
        <v>1</v>
      </c>
      <c r="BW236">
        <v>0</v>
      </c>
      <c r="BX236">
        <v>2</v>
      </c>
      <c r="BY236">
        <v>1</v>
      </c>
      <c r="BZ236">
        <v>106</v>
      </c>
      <c r="CA236">
        <v>2</v>
      </c>
      <c r="CB236">
        <v>1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1</v>
      </c>
      <c r="CJ236">
        <v>0</v>
      </c>
      <c r="CK236">
        <v>0</v>
      </c>
      <c r="CL236">
        <v>2</v>
      </c>
      <c r="CM236">
        <v>6</v>
      </c>
      <c r="CN236">
        <v>3</v>
      </c>
      <c r="CO236">
        <v>3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6</v>
      </c>
      <c r="CY236">
        <v>27</v>
      </c>
      <c r="CZ236">
        <v>24</v>
      </c>
      <c r="DA236">
        <v>0</v>
      </c>
      <c r="DB236">
        <v>0</v>
      </c>
      <c r="DC236">
        <v>1</v>
      </c>
      <c r="DD236">
        <v>0</v>
      </c>
      <c r="DE236">
        <v>0</v>
      </c>
      <c r="DF236">
        <v>1</v>
      </c>
      <c r="DG236">
        <v>1</v>
      </c>
      <c r="DH236">
        <v>0</v>
      </c>
      <c r="DI236">
        <v>0</v>
      </c>
      <c r="DJ236">
        <v>27</v>
      </c>
      <c r="DK236">
        <v>54</v>
      </c>
      <c r="DL236">
        <v>30</v>
      </c>
      <c r="DM236">
        <v>19</v>
      </c>
      <c r="DN236">
        <v>1</v>
      </c>
      <c r="DO236">
        <v>1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3</v>
      </c>
      <c r="DV236">
        <v>54</v>
      </c>
      <c r="DW236">
        <v>9</v>
      </c>
      <c r="DX236">
        <v>2</v>
      </c>
      <c r="DY236">
        <v>3</v>
      </c>
      <c r="DZ236">
        <v>0</v>
      </c>
      <c r="EA236">
        <v>0</v>
      </c>
      <c r="EB236">
        <v>3</v>
      </c>
      <c r="EC236">
        <v>1</v>
      </c>
      <c r="ED236">
        <v>0</v>
      </c>
      <c r="EE236">
        <v>0</v>
      </c>
      <c r="EF236">
        <v>0</v>
      </c>
      <c r="EG236">
        <v>0</v>
      </c>
      <c r="EH236">
        <v>9</v>
      </c>
      <c r="EI236">
        <v>1</v>
      </c>
      <c r="EJ236">
        <v>0</v>
      </c>
      <c r="EK236">
        <v>1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1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</row>
    <row r="237" spans="1:172" ht="14.25">
      <c r="A237">
        <v>232</v>
      </c>
      <c r="B237" t="str">
        <f t="shared" si="43"/>
        <v>101201</v>
      </c>
      <c r="C237" t="str">
        <f t="shared" si="44"/>
        <v>m. Radomsko</v>
      </c>
      <c r="D237" t="str">
        <f t="shared" si="45"/>
        <v>radomszczański</v>
      </c>
      <c r="E237" t="str">
        <f t="shared" si="35"/>
        <v>łódzkie</v>
      </c>
      <c r="F237">
        <v>12</v>
      </c>
      <c r="G237" t="str">
        <f>"Miejski Dom Kultury, ul. Brzeźnicka 5, 97-500 Radomsko"</f>
        <v>Miejski Dom Kultury, ul. Brzeźnicka 5, 97-500 Radomsko</v>
      </c>
      <c r="H237">
        <v>1755</v>
      </c>
      <c r="I237">
        <v>1755</v>
      </c>
      <c r="J237">
        <v>0</v>
      </c>
      <c r="K237">
        <v>1240</v>
      </c>
      <c r="L237">
        <v>781</v>
      </c>
      <c r="M237">
        <v>459</v>
      </c>
      <c r="N237">
        <v>459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459</v>
      </c>
      <c r="Z237">
        <v>0</v>
      </c>
      <c r="AA237">
        <v>0</v>
      </c>
      <c r="AB237">
        <v>459</v>
      </c>
      <c r="AC237">
        <v>14</v>
      </c>
      <c r="AD237">
        <v>445</v>
      </c>
      <c r="AE237">
        <v>14</v>
      </c>
      <c r="AF237">
        <v>3</v>
      </c>
      <c r="AG237">
        <v>0</v>
      </c>
      <c r="AH237">
        <v>11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14</v>
      </c>
      <c r="AQ237">
        <v>12</v>
      </c>
      <c r="AR237">
        <v>4</v>
      </c>
      <c r="AS237">
        <v>0</v>
      </c>
      <c r="AT237">
        <v>6</v>
      </c>
      <c r="AU237">
        <v>0</v>
      </c>
      <c r="AV237">
        <v>0</v>
      </c>
      <c r="AW237">
        <v>0</v>
      </c>
      <c r="AX237">
        <v>1</v>
      </c>
      <c r="AY237">
        <v>1</v>
      </c>
      <c r="AZ237">
        <v>0</v>
      </c>
      <c r="BA237">
        <v>0</v>
      </c>
      <c r="BB237">
        <v>12</v>
      </c>
      <c r="BC237">
        <v>40</v>
      </c>
      <c r="BD237">
        <v>19</v>
      </c>
      <c r="BE237">
        <v>4</v>
      </c>
      <c r="BF237">
        <v>0</v>
      </c>
      <c r="BG237">
        <v>2</v>
      </c>
      <c r="BH237">
        <v>1</v>
      </c>
      <c r="BI237">
        <v>4</v>
      </c>
      <c r="BJ237">
        <v>1</v>
      </c>
      <c r="BK237">
        <v>0</v>
      </c>
      <c r="BL237">
        <v>3</v>
      </c>
      <c r="BM237">
        <v>6</v>
      </c>
      <c r="BN237">
        <v>40</v>
      </c>
      <c r="BO237">
        <v>147</v>
      </c>
      <c r="BP237">
        <v>134</v>
      </c>
      <c r="BQ237">
        <v>2</v>
      </c>
      <c r="BR237">
        <v>7</v>
      </c>
      <c r="BS237">
        <v>0</v>
      </c>
      <c r="BT237">
        <v>0</v>
      </c>
      <c r="BU237">
        <v>0</v>
      </c>
      <c r="BV237">
        <v>0</v>
      </c>
      <c r="BW237">
        <v>4</v>
      </c>
      <c r="BX237">
        <v>0</v>
      </c>
      <c r="BY237">
        <v>0</v>
      </c>
      <c r="BZ237">
        <v>147</v>
      </c>
      <c r="CA237">
        <v>9</v>
      </c>
      <c r="CB237">
        <v>6</v>
      </c>
      <c r="CC237">
        <v>2</v>
      </c>
      <c r="CD237">
        <v>1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9</v>
      </c>
      <c r="CM237">
        <v>5</v>
      </c>
      <c r="CN237">
        <v>5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5</v>
      </c>
      <c r="CY237">
        <v>34</v>
      </c>
      <c r="CZ237">
        <v>18</v>
      </c>
      <c r="DA237">
        <v>2</v>
      </c>
      <c r="DB237">
        <v>0</v>
      </c>
      <c r="DC237">
        <v>8</v>
      </c>
      <c r="DD237">
        <v>0</v>
      </c>
      <c r="DE237">
        <v>1</v>
      </c>
      <c r="DF237">
        <v>0</v>
      </c>
      <c r="DG237">
        <v>1</v>
      </c>
      <c r="DH237">
        <v>3</v>
      </c>
      <c r="DI237">
        <v>1</v>
      </c>
      <c r="DJ237">
        <v>34</v>
      </c>
      <c r="DK237">
        <v>172</v>
      </c>
      <c r="DL237">
        <v>101</v>
      </c>
      <c r="DM237">
        <v>59</v>
      </c>
      <c r="DN237">
        <v>2</v>
      </c>
      <c r="DO237">
        <v>0</v>
      </c>
      <c r="DP237">
        <v>2</v>
      </c>
      <c r="DQ237">
        <v>1</v>
      </c>
      <c r="DR237">
        <v>3</v>
      </c>
      <c r="DS237">
        <v>1</v>
      </c>
      <c r="DT237">
        <v>2</v>
      </c>
      <c r="DU237">
        <v>1</v>
      </c>
      <c r="DV237">
        <v>172</v>
      </c>
      <c r="DW237">
        <v>6</v>
      </c>
      <c r="DX237">
        <v>3</v>
      </c>
      <c r="DY237">
        <v>1</v>
      </c>
      <c r="DZ237">
        <v>0</v>
      </c>
      <c r="EA237">
        <v>0</v>
      </c>
      <c r="EB237">
        <v>0</v>
      </c>
      <c r="EC237">
        <v>0</v>
      </c>
      <c r="ED237">
        <v>1</v>
      </c>
      <c r="EE237">
        <v>0</v>
      </c>
      <c r="EF237">
        <v>0</v>
      </c>
      <c r="EG237">
        <v>1</v>
      </c>
      <c r="EH237">
        <v>6</v>
      </c>
      <c r="EI237">
        <v>4</v>
      </c>
      <c r="EJ237">
        <v>1</v>
      </c>
      <c r="EK237">
        <v>3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4</v>
      </c>
      <c r="ES237">
        <v>1</v>
      </c>
      <c r="ET237">
        <v>1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1</v>
      </c>
      <c r="FE237">
        <v>1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1</v>
      </c>
      <c r="FP237">
        <v>1</v>
      </c>
    </row>
    <row r="238" spans="1:172" ht="14.25">
      <c r="A238">
        <v>233</v>
      </c>
      <c r="B238" t="str">
        <f t="shared" si="43"/>
        <v>101201</v>
      </c>
      <c r="C238" t="str">
        <f t="shared" si="44"/>
        <v>m. Radomsko</v>
      </c>
      <c r="D238" t="str">
        <f t="shared" si="45"/>
        <v>radomszczański</v>
      </c>
      <c r="E238" t="str">
        <f t="shared" si="35"/>
        <v>łódzkie</v>
      </c>
      <c r="F238">
        <v>13</v>
      </c>
      <c r="G238" t="str">
        <f>"Muzeum Regionalne, ul. Narutowicza 1, 97-500 Radomsko"</f>
        <v>Muzeum Regionalne, ul. Narutowicza 1, 97-500 Radomsko</v>
      </c>
      <c r="H238">
        <v>1989</v>
      </c>
      <c r="I238">
        <v>1989</v>
      </c>
      <c r="J238">
        <v>0</v>
      </c>
      <c r="K238">
        <v>1410</v>
      </c>
      <c r="L238">
        <v>1125</v>
      </c>
      <c r="M238">
        <v>285</v>
      </c>
      <c r="N238">
        <v>285</v>
      </c>
      <c r="O238">
        <v>0</v>
      </c>
      <c r="P238">
        <v>0</v>
      </c>
      <c r="Q238">
        <v>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285</v>
      </c>
      <c r="Z238">
        <v>0</v>
      </c>
      <c r="AA238">
        <v>0</v>
      </c>
      <c r="AB238">
        <v>285</v>
      </c>
      <c r="AC238">
        <v>7</v>
      </c>
      <c r="AD238">
        <v>278</v>
      </c>
      <c r="AE238">
        <v>10</v>
      </c>
      <c r="AF238">
        <v>1</v>
      </c>
      <c r="AG238">
        <v>0</v>
      </c>
      <c r="AH238">
        <v>7</v>
      </c>
      <c r="AI238">
        <v>0</v>
      </c>
      <c r="AJ238">
        <v>0</v>
      </c>
      <c r="AK238">
        <v>1</v>
      </c>
      <c r="AL238">
        <v>0</v>
      </c>
      <c r="AM238">
        <v>1</v>
      </c>
      <c r="AN238">
        <v>0</v>
      </c>
      <c r="AO238">
        <v>0</v>
      </c>
      <c r="AP238">
        <v>10</v>
      </c>
      <c r="AQ238">
        <v>8</v>
      </c>
      <c r="AR238">
        <v>3</v>
      </c>
      <c r="AS238">
        <v>0</v>
      </c>
      <c r="AT238">
        <v>2</v>
      </c>
      <c r="AU238">
        <v>0</v>
      </c>
      <c r="AV238">
        <v>0</v>
      </c>
      <c r="AW238">
        <v>0</v>
      </c>
      <c r="AX238">
        <v>1</v>
      </c>
      <c r="AY238">
        <v>1</v>
      </c>
      <c r="AZ238">
        <v>0</v>
      </c>
      <c r="BA238">
        <v>1</v>
      </c>
      <c r="BB238">
        <v>8</v>
      </c>
      <c r="BC238">
        <v>49</v>
      </c>
      <c r="BD238">
        <v>35</v>
      </c>
      <c r="BE238">
        <v>0</v>
      </c>
      <c r="BF238">
        <v>2</v>
      </c>
      <c r="BG238">
        <v>1</v>
      </c>
      <c r="BH238">
        <v>3</v>
      </c>
      <c r="BI238">
        <v>1</v>
      </c>
      <c r="BJ238">
        <v>4</v>
      </c>
      <c r="BK238">
        <v>0</v>
      </c>
      <c r="BL238">
        <v>0</v>
      </c>
      <c r="BM238">
        <v>3</v>
      </c>
      <c r="BN238">
        <v>49</v>
      </c>
      <c r="BO238">
        <v>123</v>
      </c>
      <c r="BP238">
        <v>112</v>
      </c>
      <c r="BQ238">
        <v>3</v>
      </c>
      <c r="BR238">
        <v>6</v>
      </c>
      <c r="BS238">
        <v>0</v>
      </c>
      <c r="BT238">
        <v>1</v>
      </c>
      <c r="BU238">
        <v>0</v>
      </c>
      <c r="BV238">
        <v>0</v>
      </c>
      <c r="BW238">
        <v>0</v>
      </c>
      <c r="BX238">
        <v>1</v>
      </c>
      <c r="BY238">
        <v>0</v>
      </c>
      <c r="BZ238">
        <v>123</v>
      </c>
      <c r="CA238">
        <v>4</v>
      </c>
      <c r="CB238">
        <v>3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1</v>
      </c>
      <c r="CJ238">
        <v>0</v>
      </c>
      <c r="CK238">
        <v>0</v>
      </c>
      <c r="CL238">
        <v>4</v>
      </c>
      <c r="CM238">
        <v>2</v>
      </c>
      <c r="CN238">
        <v>2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2</v>
      </c>
      <c r="CY238">
        <v>14</v>
      </c>
      <c r="CZ238">
        <v>11</v>
      </c>
      <c r="DA238">
        <v>2</v>
      </c>
      <c r="DB238">
        <v>0</v>
      </c>
      <c r="DC238">
        <v>1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14</v>
      </c>
      <c r="DK238">
        <v>61</v>
      </c>
      <c r="DL238">
        <v>39</v>
      </c>
      <c r="DM238">
        <v>18</v>
      </c>
      <c r="DN238">
        <v>0</v>
      </c>
      <c r="DO238">
        <v>0</v>
      </c>
      <c r="DP238">
        <v>0</v>
      </c>
      <c r="DQ238">
        <v>0</v>
      </c>
      <c r="DR238">
        <v>2</v>
      </c>
      <c r="DS238">
        <v>0</v>
      </c>
      <c r="DT238">
        <v>2</v>
      </c>
      <c r="DU238">
        <v>0</v>
      </c>
      <c r="DV238">
        <v>61</v>
      </c>
      <c r="DW238">
        <v>3</v>
      </c>
      <c r="DX238">
        <v>2</v>
      </c>
      <c r="DY238">
        <v>1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3</v>
      </c>
      <c r="EI238">
        <v>1</v>
      </c>
      <c r="EJ238">
        <v>0</v>
      </c>
      <c r="EK238">
        <v>1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1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3</v>
      </c>
      <c r="FF238">
        <v>3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3</v>
      </c>
    </row>
    <row r="239" spans="1:172" ht="14.25">
      <c r="A239">
        <v>234</v>
      </c>
      <c r="B239" t="str">
        <f t="shared" si="43"/>
        <v>101201</v>
      </c>
      <c r="C239" t="str">
        <f t="shared" si="44"/>
        <v>m. Radomsko</v>
      </c>
      <c r="D239" t="str">
        <f t="shared" si="45"/>
        <v>radomszczański</v>
      </c>
      <c r="E239" t="str">
        <f t="shared" si="35"/>
        <v>łódzkie</v>
      </c>
      <c r="F239">
        <v>14</v>
      </c>
      <c r="G239" t="str">
        <f>"Zespół Szkolno-Gimnazjalny Nr 2, ul. Piłsudskiego 22, 97-500 Radomsko"</f>
        <v>Zespół Szkolno-Gimnazjalny Nr 2, ul. Piłsudskiego 22, 97-500 Radomsko</v>
      </c>
      <c r="H239">
        <v>2051</v>
      </c>
      <c r="I239">
        <v>2051</v>
      </c>
      <c r="J239">
        <v>0</v>
      </c>
      <c r="K239">
        <v>1440</v>
      </c>
      <c r="L239">
        <v>998</v>
      </c>
      <c r="M239">
        <v>442</v>
      </c>
      <c r="N239">
        <v>442</v>
      </c>
      <c r="O239">
        <v>0</v>
      </c>
      <c r="P239">
        <v>0</v>
      </c>
      <c r="Q239">
        <v>2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442</v>
      </c>
      <c r="Z239">
        <v>0</v>
      </c>
      <c r="AA239">
        <v>0</v>
      </c>
      <c r="AB239">
        <v>442</v>
      </c>
      <c r="AC239">
        <v>12</v>
      </c>
      <c r="AD239">
        <v>430</v>
      </c>
      <c r="AE239">
        <v>8</v>
      </c>
      <c r="AF239">
        <v>0</v>
      </c>
      <c r="AG239">
        <v>0</v>
      </c>
      <c r="AH239">
        <v>6</v>
      </c>
      <c r="AI239">
        <v>0</v>
      </c>
      <c r="AJ239">
        <v>0</v>
      </c>
      <c r="AK239">
        <v>2</v>
      </c>
      <c r="AL239">
        <v>0</v>
      </c>
      <c r="AM239">
        <v>0</v>
      </c>
      <c r="AN239">
        <v>0</v>
      </c>
      <c r="AO239">
        <v>0</v>
      </c>
      <c r="AP239">
        <v>8</v>
      </c>
      <c r="AQ239">
        <v>12</v>
      </c>
      <c r="AR239">
        <v>5</v>
      </c>
      <c r="AS239">
        <v>0</v>
      </c>
      <c r="AT239">
        <v>6</v>
      </c>
      <c r="AU239">
        <v>0</v>
      </c>
      <c r="AV239">
        <v>1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12</v>
      </c>
      <c r="BC239">
        <v>48</v>
      </c>
      <c r="BD239">
        <v>26</v>
      </c>
      <c r="BE239">
        <v>5</v>
      </c>
      <c r="BF239">
        <v>1</v>
      </c>
      <c r="BG239">
        <v>0</v>
      </c>
      <c r="BH239">
        <v>1</v>
      </c>
      <c r="BI239">
        <v>1</v>
      </c>
      <c r="BJ239">
        <v>6</v>
      </c>
      <c r="BK239">
        <v>1</v>
      </c>
      <c r="BL239">
        <v>1</v>
      </c>
      <c r="BM239">
        <v>6</v>
      </c>
      <c r="BN239">
        <v>48</v>
      </c>
      <c r="BO239">
        <v>177</v>
      </c>
      <c r="BP239">
        <v>161</v>
      </c>
      <c r="BQ239">
        <v>2</v>
      </c>
      <c r="BR239">
        <v>5</v>
      </c>
      <c r="BS239">
        <v>1</v>
      </c>
      <c r="BT239">
        <v>0</v>
      </c>
      <c r="BU239">
        <v>0</v>
      </c>
      <c r="BV239">
        <v>3</v>
      </c>
      <c r="BW239">
        <v>2</v>
      </c>
      <c r="BX239">
        <v>0</v>
      </c>
      <c r="BY239">
        <v>3</v>
      </c>
      <c r="BZ239">
        <v>177</v>
      </c>
      <c r="CA239">
        <v>11</v>
      </c>
      <c r="CB239">
        <v>2</v>
      </c>
      <c r="CC239">
        <v>5</v>
      </c>
      <c r="CD239">
        <v>2</v>
      </c>
      <c r="CE239">
        <v>1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1</v>
      </c>
      <c r="CL239">
        <v>11</v>
      </c>
      <c r="CM239">
        <v>6</v>
      </c>
      <c r="CN239">
        <v>4</v>
      </c>
      <c r="CO239">
        <v>1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1</v>
      </c>
      <c r="CX239">
        <v>6</v>
      </c>
      <c r="CY239">
        <v>32</v>
      </c>
      <c r="CZ239">
        <v>22</v>
      </c>
      <c r="DA239">
        <v>4</v>
      </c>
      <c r="DB239">
        <v>0</v>
      </c>
      <c r="DC239">
        <v>0</v>
      </c>
      <c r="DD239">
        <v>0</v>
      </c>
      <c r="DE239">
        <v>1</v>
      </c>
      <c r="DF239">
        <v>0</v>
      </c>
      <c r="DG239">
        <v>3</v>
      </c>
      <c r="DH239">
        <v>2</v>
      </c>
      <c r="DI239">
        <v>0</v>
      </c>
      <c r="DJ239">
        <v>32</v>
      </c>
      <c r="DK239">
        <v>120</v>
      </c>
      <c r="DL239">
        <v>68</v>
      </c>
      <c r="DM239">
        <v>44</v>
      </c>
      <c r="DN239">
        <v>0</v>
      </c>
      <c r="DO239">
        <v>0</v>
      </c>
      <c r="DP239">
        <v>0</v>
      </c>
      <c r="DQ239">
        <v>0</v>
      </c>
      <c r="DR239">
        <v>3</v>
      </c>
      <c r="DS239">
        <v>0</v>
      </c>
      <c r="DT239">
        <v>1</v>
      </c>
      <c r="DU239">
        <v>4</v>
      </c>
      <c r="DV239">
        <v>120</v>
      </c>
      <c r="DW239">
        <v>12</v>
      </c>
      <c r="DX239">
        <v>4</v>
      </c>
      <c r="DY239">
        <v>1</v>
      </c>
      <c r="DZ239">
        <v>0</v>
      </c>
      <c r="EA239">
        <v>0</v>
      </c>
      <c r="EB239">
        <v>1</v>
      </c>
      <c r="EC239">
        <v>3</v>
      </c>
      <c r="ED239">
        <v>0</v>
      </c>
      <c r="EE239">
        <v>0</v>
      </c>
      <c r="EF239">
        <v>0</v>
      </c>
      <c r="EG239">
        <v>3</v>
      </c>
      <c r="EH239">
        <v>12</v>
      </c>
      <c r="EI239">
        <v>2</v>
      </c>
      <c r="EJ239">
        <v>2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2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2</v>
      </c>
      <c r="FF239">
        <v>1</v>
      </c>
      <c r="FG239">
        <v>0</v>
      </c>
      <c r="FH239">
        <v>1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2</v>
      </c>
    </row>
    <row r="240" spans="1:172" ht="14.25">
      <c r="A240">
        <v>235</v>
      </c>
      <c r="B240" t="str">
        <f t="shared" si="43"/>
        <v>101201</v>
      </c>
      <c r="C240" t="str">
        <f t="shared" si="44"/>
        <v>m. Radomsko</v>
      </c>
      <c r="D240" t="str">
        <f t="shared" si="45"/>
        <v>radomszczański</v>
      </c>
      <c r="E240" t="str">
        <f t="shared" si="35"/>
        <v>łódzkie</v>
      </c>
      <c r="F240">
        <v>15</v>
      </c>
      <c r="G240" t="str">
        <f>"Publiczne Przedszkole Nr 1, ul. Miła 13, 97-500 Radomsko"</f>
        <v>Publiczne Przedszkole Nr 1, ul. Miła 13, 97-500 Radomsko</v>
      </c>
      <c r="H240">
        <v>1617</v>
      </c>
      <c r="I240">
        <v>1617</v>
      </c>
      <c r="J240">
        <v>0</v>
      </c>
      <c r="K240">
        <v>1139</v>
      </c>
      <c r="L240">
        <v>737</v>
      </c>
      <c r="M240">
        <v>402</v>
      </c>
      <c r="N240">
        <v>402</v>
      </c>
      <c r="O240">
        <v>0</v>
      </c>
      <c r="P240">
        <v>0</v>
      </c>
      <c r="Q240">
        <v>1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402</v>
      </c>
      <c r="Z240">
        <v>0</v>
      </c>
      <c r="AA240">
        <v>0</v>
      </c>
      <c r="AB240">
        <v>402</v>
      </c>
      <c r="AC240">
        <v>3</v>
      </c>
      <c r="AD240">
        <v>399</v>
      </c>
      <c r="AE240">
        <v>9</v>
      </c>
      <c r="AF240">
        <v>0</v>
      </c>
      <c r="AG240">
        <v>0</v>
      </c>
      <c r="AH240">
        <v>8</v>
      </c>
      <c r="AI240">
        <v>0</v>
      </c>
      <c r="AJ240">
        <v>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9</v>
      </c>
      <c r="AQ240">
        <v>2</v>
      </c>
      <c r="AR240">
        <v>2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2</v>
      </c>
      <c r="BC240">
        <v>30</v>
      </c>
      <c r="BD240">
        <v>19</v>
      </c>
      <c r="BE240">
        <v>2</v>
      </c>
      <c r="BF240">
        <v>2</v>
      </c>
      <c r="BG240">
        <v>0</v>
      </c>
      <c r="BH240">
        <v>1</v>
      </c>
      <c r="BI240">
        <v>0</v>
      </c>
      <c r="BJ240">
        <v>3</v>
      </c>
      <c r="BK240">
        <v>0</v>
      </c>
      <c r="BL240">
        <v>0</v>
      </c>
      <c r="BM240">
        <v>3</v>
      </c>
      <c r="BN240">
        <v>30</v>
      </c>
      <c r="BO240">
        <v>167</v>
      </c>
      <c r="BP240">
        <v>147</v>
      </c>
      <c r="BQ240">
        <v>8</v>
      </c>
      <c r="BR240">
        <v>6</v>
      </c>
      <c r="BS240">
        <v>1</v>
      </c>
      <c r="BT240">
        <v>1</v>
      </c>
      <c r="BU240">
        <v>0</v>
      </c>
      <c r="BV240">
        <v>2</v>
      </c>
      <c r="BW240">
        <v>0</v>
      </c>
      <c r="BX240">
        <v>0</v>
      </c>
      <c r="BY240">
        <v>2</v>
      </c>
      <c r="BZ240">
        <v>167</v>
      </c>
      <c r="CA240">
        <v>8</v>
      </c>
      <c r="CB240">
        <v>5</v>
      </c>
      <c r="CC240">
        <v>0</v>
      </c>
      <c r="CD240">
        <v>1</v>
      </c>
      <c r="CE240">
        <v>2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8</v>
      </c>
      <c r="CM240">
        <v>7</v>
      </c>
      <c r="CN240">
        <v>4</v>
      </c>
      <c r="CO240">
        <v>2</v>
      </c>
      <c r="CP240">
        <v>0</v>
      </c>
      <c r="CQ240">
        <v>0</v>
      </c>
      <c r="CR240">
        <v>0</v>
      </c>
      <c r="CS240">
        <v>1</v>
      </c>
      <c r="CT240">
        <v>0</v>
      </c>
      <c r="CU240">
        <v>0</v>
      </c>
      <c r="CV240">
        <v>0</v>
      </c>
      <c r="CW240">
        <v>0</v>
      </c>
      <c r="CX240">
        <v>7</v>
      </c>
      <c r="CY240">
        <v>27</v>
      </c>
      <c r="CZ240">
        <v>23</v>
      </c>
      <c r="DA240">
        <v>2</v>
      </c>
      <c r="DB240">
        <v>0</v>
      </c>
      <c r="DC240">
        <v>1</v>
      </c>
      <c r="DD240">
        <v>0</v>
      </c>
      <c r="DE240">
        <v>0</v>
      </c>
      <c r="DF240">
        <v>0</v>
      </c>
      <c r="DG240">
        <v>0</v>
      </c>
      <c r="DH240">
        <v>1</v>
      </c>
      <c r="DI240">
        <v>0</v>
      </c>
      <c r="DJ240">
        <v>27</v>
      </c>
      <c r="DK240">
        <v>134</v>
      </c>
      <c r="DL240">
        <v>73</v>
      </c>
      <c r="DM240">
        <v>54</v>
      </c>
      <c r="DN240">
        <v>0</v>
      </c>
      <c r="DO240">
        <v>0</v>
      </c>
      <c r="DP240">
        <v>1</v>
      </c>
      <c r="DQ240">
        <v>3</v>
      </c>
      <c r="DR240">
        <v>2</v>
      </c>
      <c r="DS240">
        <v>1</v>
      </c>
      <c r="DT240">
        <v>0</v>
      </c>
      <c r="DU240">
        <v>0</v>
      </c>
      <c r="DV240">
        <v>134</v>
      </c>
      <c r="DW240">
        <v>13</v>
      </c>
      <c r="DX240">
        <v>2</v>
      </c>
      <c r="DY240">
        <v>1</v>
      </c>
      <c r="DZ240">
        <v>0</v>
      </c>
      <c r="EA240">
        <v>0</v>
      </c>
      <c r="EB240">
        <v>0</v>
      </c>
      <c r="EC240">
        <v>3</v>
      </c>
      <c r="ED240">
        <v>0</v>
      </c>
      <c r="EE240">
        <v>6</v>
      </c>
      <c r="EF240">
        <v>0</v>
      </c>
      <c r="EG240">
        <v>1</v>
      </c>
      <c r="EH240">
        <v>13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2</v>
      </c>
      <c r="FF240">
        <v>1</v>
      </c>
      <c r="FG240">
        <v>1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2</v>
      </c>
    </row>
    <row r="241" spans="1:172" ht="14.25">
      <c r="A241">
        <v>236</v>
      </c>
      <c r="B241" t="str">
        <f t="shared" si="43"/>
        <v>101201</v>
      </c>
      <c r="C241" t="str">
        <f t="shared" si="44"/>
        <v>m. Radomsko</v>
      </c>
      <c r="D241" t="str">
        <f t="shared" si="45"/>
        <v>radomszczański</v>
      </c>
      <c r="E241" t="str">
        <f t="shared" si="35"/>
        <v>łódzkie</v>
      </c>
      <c r="F241">
        <v>16</v>
      </c>
      <c r="G241" t="str">
        <f>"Zespół Szkół Ponadgimnazjalnych Nr 1, ul. Brzeźnicka 20, 97-500 Radomsko"</f>
        <v>Zespół Szkół Ponadgimnazjalnych Nr 1, ul. Brzeźnicka 20, 97-500 Radomsko</v>
      </c>
      <c r="H241">
        <v>1932</v>
      </c>
      <c r="I241">
        <v>1932</v>
      </c>
      <c r="J241">
        <v>0</v>
      </c>
      <c r="K241">
        <v>1370</v>
      </c>
      <c r="L241">
        <v>980</v>
      </c>
      <c r="M241">
        <v>390</v>
      </c>
      <c r="N241">
        <v>390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390</v>
      </c>
      <c r="Z241">
        <v>0</v>
      </c>
      <c r="AA241">
        <v>0</v>
      </c>
      <c r="AB241">
        <v>390</v>
      </c>
      <c r="AC241">
        <v>12</v>
      </c>
      <c r="AD241">
        <v>378</v>
      </c>
      <c r="AE241">
        <v>15</v>
      </c>
      <c r="AF241">
        <v>1</v>
      </c>
      <c r="AG241">
        <v>2</v>
      </c>
      <c r="AH241">
        <v>9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2</v>
      </c>
      <c r="AP241">
        <v>15</v>
      </c>
      <c r="AQ241">
        <v>13</v>
      </c>
      <c r="AR241">
        <v>2</v>
      </c>
      <c r="AS241">
        <v>0</v>
      </c>
      <c r="AT241">
        <v>7</v>
      </c>
      <c r="AU241">
        <v>0</v>
      </c>
      <c r="AV241">
        <v>0</v>
      </c>
      <c r="AW241">
        <v>0</v>
      </c>
      <c r="AX241">
        <v>2</v>
      </c>
      <c r="AY241">
        <v>1</v>
      </c>
      <c r="AZ241">
        <v>1</v>
      </c>
      <c r="BA241">
        <v>0</v>
      </c>
      <c r="BB241">
        <v>13</v>
      </c>
      <c r="BC241">
        <v>43</v>
      </c>
      <c r="BD241">
        <v>27</v>
      </c>
      <c r="BE241">
        <v>5</v>
      </c>
      <c r="BF241">
        <v>3</v>
      </c>
      <c r="BG241">
        <v>0</v>
      </c>
      <c r="BH241">
        <v>0</v>
      </c>
      <c r="BI241">
        <v>0</v>
      </c>
      <c r="BJ241">
        <v>4</v>
      </c>
      <c r="BK241">
        <v>0</v>
      </c>
      <c r="BL241">
        <v>0</v>
      </c>
      <c r="BM241">
        <v>4</v>
      </c>
      <c r="BN241">
        <v>43</v>
      </c>
      <c r="BO241">
        <v>162</v>
      </c>
      <c r="BP241">
        <v>132</v>
      </c>
      <c r="BQ241">
        <v>6</v>
      </c>
      <c r="BR241">
        <v>10</v>
      </c>
      <c r="BS241">
        <v>3</v>
      </c>
      <c r="BT241">
        <v>3</v>
      </c>
      <c r="BU241">
        <v>2</v>
      </c>
      <c r="BV241">
        <v>2</v>
      </c>
      <c r="BW241">
        <v>0</v>
      </c>
      <c r="BX241">
        <v>2</v>
      </c>
      <c r="BY241">
        <v>2</v>
      </c>
      <c r="BZ241">
        <v>162</v>
      </c>
      <c r="CA241">
        <v>4</v>
      </c>
      <c r="CB241">
        <v>1</v>
      </c>
      <c r="CC241">
        <v>1</v>
      </c>
      <c r="CD241">
        <v>0</v>
      </c>
      <c r="CE241">
        <v>0</v>
      </c>
      <c r="CF241">
        <v>0</v>
      </c>
      <c r="CG241">
        <v>1</v>
      </c>
      <c r="CH241">
        <v>0</v>
      </c>
      <c r="CI241">
        <v>0</v>
      </c>
      <c r="CJ241">
        <v>1</v>
      </c>
      <c r="CK241">
        <v>0</v>
      </c>
      <c r="CL241">
        <v>4</v>
      </c>
      <c r="CM241">
        <v>5</v>
      </c>
      <c r="CN241">
        <v>3</v>
      </c>
      <c r="CO241">
        <v>0</v>
      </c>
      <c r="CP241">
        <v>1</v>
      </c>
      <c r="CQ241">
        <v>0</v>
      </c>
      <c r="CR241">
        <v>0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5</v>
      </c>
      <c r="CY241">
        <v>21</v>
      </c>
      <c r="CZ241">
        <v>11</v>
      </c>
      <c r="DA241">
        <v>3</v>
      </c>
      <c r="DB241">
        <v>1</v>
      </c>
      <c r="DC241">
        <v>1</v>
      </c>
      <c r="DD241">
        <v>1</v>
      </c>
      <c r="DE241">
        <v>0</v>
      </c>
      <c r="DF241">
        <v>0</v>
      </c>
      <c r="DG241">
        <v>0</v>
      </c>
      <c r="DH241">
        <v>3</v>
      </c>
      <c r="DI241">
        <v>1</v>
      </c>
      <c r="DJ241">
        <v>21</v>
      </c>
      <c r="DK241">
        <v>100</v>
      </c>
      <c r="DL241">
        <v>48</v>
      </c>
      <c r="DM241">
        <v>42</v>
      </c>
      <c r="DN241">
        <v>0</v>
      </c>
      <c r="DO241">
        <v>0</v>
      </c>
      <c r="DP241">
        <v>4</v>
      </c>
      <c r="DQ241">
        <v>0</v>
      </c>
      <c r="DR241">
        <v>1</v>
      </c>
      <c r="DS241">
        <v>1</v>
      </c>
      <c r="DT241">
        <v>2</v>
      </c>
      <c r="DU241">
        <v>2</v>
      </c>
      <c r="DV241">
        <v>100</v>
      </c>
      <c r="DW241">
        <v>10</v>
      </c>
      <c r="DX241">
        <v>0</v>
      </c>
      <c r="DY241">
        <v>2</v>
      </c>
      <c r="DZ241">
        <v>0</v>
      </c>
      <c r="EA241">
        <v>1</v>
      </c>
      <c r="EB241">
        <v>1</v>
      </c>
      <c r="EC241">
        <v>4</v>
      </c>
      <c r="ED241">
        <v>2</v>
      </c>
      <c r="EE241">
        <v>0</v>
      </c>
      <c r="EF241">
        <v>0</v>
      </c>
      <c r="EG241">
        <v>0</v>
      </c>
      <c r="EH241">
        <v>10</v>
      </c>
      <c r="EI241">
        <v>4</v>
      </c>
      <c r="EJ241">
        <v>0</v>
      </c>
      <c r="EK241">
        <v>3</v>
      </c>
      <c r="EL241">
        <v>0</v>
      </c>
      <c r="EM241">
        <v>1</v>
      </c>
      <c r="EN241">
        <v>0</v>
      </c>
      <c r="EO241">
        <v>0</v>
      </c>
      <c r="EP241">
        <v>0</v>
      </c>
      <c r="EQ241">
        <v>0</v>
      </c>
      <c r="ER241">
        <v>4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1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1</v>
      </c>
      <c r="FO241">
        <v>0</v>
      </c>
      <c r="FP241">
        <v>1</v>
      </c>
    </row>
    <row r="242" spans="1:172" ht="14.25">
      <c r="A242">
        <v>237</v>
      </c>
      <c r="B242" t="str">
        <f t="shared" si="43"/>
        <v>101201</v>
      </c>
      <c r="C242" t="str">
        <f t="shared" si="44"/>
        <v>m. Radomsko</v>
      </c>
      <c r="D242" t="str">
        <f t="shared" si="45"/>
        <v>radomszczański</v>
      </c>
      <c r="E242" t="str">
        <f t="shared" si="35"/>
        <v>łódzkie</v>
      </c>
      <c r="F242">
        <v>17</v>
      </c>
      <c r="G242" t="str">
        <f>"Zespół Szkół Drzewnych i Ochrony Środowiska, ul. Brzeźnicka 22, 97-500 Radomsko"</f>
        <v>Zespół Szkół Drzewnych i Ochrony Środowiska, ul. Brzeźnicka 22, 97-500 Radomsko</v>
      </c>
      <c r="H242">
        <v>1824</v>
      </c>
      <c r="I242">
        <v>1824</v>
      </c>
      <c r="J242">
        <v>0</v>
      </c>
      <c r="K242">
        <v>1280</v>
      </c>
      <c r="L242">
        <v>897</v>
      </c>
      <c r="M242">
        <v>383</v>
      </c>
      <c r="N242">
        <v>383</v>
      </c>
      <c r="O242">
        <v>0</v>
      </c>
      <c r="P242">
        <v>0</v>
      </c>
      <c r="Q242">
        <v>3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383</v>
      </c>
      <c r="Z242">
        <v>0</v>
      </c>
      <c r="AA242">
        <v>0</v>
      </c>
      <c r="AB242">
        <v>383</v>
      </c>
      <c r="AC242">
        <v>15</v>
      </c>
      <c r="AD242">
        <v>368</v>
      </c>
      <c r="AE242">
        <v>12</v>
      </c>
      <c r="AF242">
        <v>2</v>
      </c>
      <c r="AG242">
        <v>2</v>
      </c>
      <c r="AH242">
        <v>8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12</v>
      </c>
      <c r="AQ242">
        <v>9</v>
      </c>
      <c r="AR242">
        <v>0</v>
      </c>
      <c r="AS242">
        <v>0</v>
      </c>
      <c r="AT242">
        <v>7</v>
      </c>
      <c r="AU242">
        <v>0</v>
      </c>
      <c r="AV242">
        <v>0</v>
      </c>
      <c r="AW242">
        <v>0</v>
      </c>
      <c r="AX242">
        <v>1</v>
      </c>
      <c r="AY242">
        <v>1</v>
      </c>
      <c r="AZ242">
        <v>0</v>
      </c>
      <c r="BA242">
        <v>0</v>
      </c>
      <c r="BB242">
        <v>9</v>
      </c>
      <c r="BC242">
        <v>28</v>
      </c>
      <c r="BD242">
        <v>20</v>
      </c>
      <c r="BE242">
        <v>2</v>
      </c>
      <c r="BF242">
        <v>0</v>
      </c>
      <c r="BG242">
        <v>0</v>
      </c>
      <c r="BH242">
        <v>0</v>
      </c>
      <c r="BI242">
        <v>0</v>
      </c>
      <c r="BJ242">
        <v>3</v>
      </c>
      <c r="BK242">
        <v>0</v>
      </c>
      <c r="BL242">
        <v>0</v>
      </c>
      <c r="BM242">
        <v>3</v>
      </c>
      <c r="BN242">
        <v>28</v>
      </c>
      <c r="BO242">
        <v>163</v>
      </c>
      <c r="BP242">
        <v>148</v>
      </c>
      <c r="BQ242">
        <v>8</v>
      </c>
      <c r="BR242">
        <v>4</v>
      </c>
      <c r="BS242">
        <v>1</v>
      </c>
      <c r="BT242">
        <v>1</v>
      </c>
      <c r="BU242">
        <v>0</v>
      </c>
      <c r="BV242">
        <v>0</v>
      </c>
      <c r="BW242">
        <v>0</v>
      </c>
      <c r="BX242">
        <v>0</v>
      </c>
      <c r="BY242">
        <v>1</v>
      </c>
      <c r="BZ242">
        <v>163</v>
      </c>
      <c r="CA242">
        <v>7</v>
      </c>
      <c r="CB242">
        <v>2</v>
      </c>
      <c r="CC242">
        <v>0</v>
      </c>
      <c r="CD242">
        <v>1</v>
      </c>
      <c r="CE242">
        <v>2</v>
      </c>
      <c r="CF242">
        <v>1</v>
      </c>
      <c r="CG242">
        <v>0</v>
      </c>
      <c r="CH242">
        <v>0</v>
      </c>
      <c r="CI242">
        <v>0</v>
      </c>
      <c r="CJ242">
        <v>0</v>
      </c>
      <c r="CK242">
        <v>1</v>
      </c>
      <c r="CL242">
        <v>7</v>
      </c>
      <c r="CM242">
        <v>4</v>
      </c>
      <c r="CN242">
        <v>3</v>
      </c>
      <c r="CO242">
        <v>0</v>
      </c>
      <c r="CP242">
        <v>1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4</v>
      </c>
      <c r="CY242">
        <v>26</v>
      </c>
      <c r="CZ242">
        <v>16</v>
      </c>
      <c r="DA242">
        <v>1</v>
      </c>
      <c r="DB242">
        <v>1</v>
      </c>
      <c r="DC242">
        <v>2</v>
      </c>
      <c r="DD242">
        <v>1</v>
      </c>
      <c r="DE242">
        <v>0</v>
      </c>
      <c r="DF242">
        <v>0</v>
      </c>
      <c r="DG242">
        <v>2</v>
      </c>
      <c r="DH242">
        <v>1</v>
      </c>
      <c r="DI242">
        <v>2</v>
      </c>
      <c r="DJ242">
        <v>26</v>
      </c>
      <c r="DK242">
        <v>111</v>
      </c>
      <c r="DL242">
        <v>48</v>
      </c>
      <c r="DM242">
        <v>54</v>
      </c>
      <c r="DN242">
        <v>1</v>
      </c>
      <c r="DO242">
        <v>1</v>
      </c>
      <c r="DP242">
        <v>3</v>
      </c>
      <c r="DQ242">
        <v>1</v>
      </c>
      <c r="DR242">
        <v>1</v>
      </c>
      <c r="DS242">
        <v>1</v>
      </c>
      <c r="DT242">
        <v>0</v>
      </c>
      <c r="DU242">
        <v>1</v>
      </c>
      <c r="DV242">
        <v>111</v>
      </c>
      <c r="DW242">
        <v>5</v>
      </c>
      <c r="DX242">
        <v>1</v>
      </c>
      <c r="DY242">
        <v>1</v>
      </c>
      <c r="DZ242">
        <v>0</v>
      </c>
      <c r="EA242">
        <v>2</v>
      </c>
      <c r="EB242">
        <v>1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5</v>
      </c>
      <c r="EI242">
        <v>3</v>
      </c>
      <c r="EJ242">
        <v>0</v>
      </c>
      <c r="EK242">
        <v>3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3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</row>
    <row r="243" spans="1:172" ht="14.25">
      <c r="A243">
        <v>238</v>
      </c>
      <c r="B243" t="str">
        <f t="shared" si="43"/>
        <v>101201</v>
      </c>
      <c r="C243" t="str">
        <f t="shared" si="44"/>
        <v>m. Radomsko</v>
      </c>
      <c r="D243" t="str">
        <f t="shared" si="45"/>
        <v>radomszczański</v>
      </c>
      <c r="E243" t="str">
        <f t="shared" si="35"/>
        <v>łódzkie</v>
      </c>
      <c r="F243">
        <v>18</v>
      </c>
      <c r="G243" t="str">
        <f>"Zespół Szkolno-Gimnazjalny Nr 6, ul. Makuszyńskiego 25, 97-500 Radomsko"</f>
        <v>Zespół Szkolno-Gimnazjalny Nr 6, ul. Makuszyńskiego 25, 97-500 Radomsko</v>
      </c>
      <c r="H243">
        <v>1833</v>
      </c>
      <c r="I243">
        <v>1833</v>
      </c>
      <c r="J243">
        <v>0</v>
      </c>
      <c r="K243">
        <v>1300</v>
      </c>
      <c r="L243">
        <v>972</v>
      </c>
      <c r="M243">
        <v>328</v>
      </c>
      <c r="N243">
        <v>328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328</v>
      </c>
      <c r="Z243">
        <v>0</v>
      </c>
      <c r="AA243">
        <v>0</v>
      </c>
      <c r="AB243">
        <v>328</v>
      </c>
      <c r="AC243">
        <v>4</v>
      </c>
      <c r="AD243">
        <v>324</v>
      </c>
      <c r="AE243">
        <v>18</v>
      </c>
      <c r="AF243">
        <v>0</v>
      </c>
      <c r="AG243">
        <v>3</v>
      </c>
      <c r="AH243">
        <v>12</v>
      </c>
      <c r="AI243">
        <v>0</v>
      </c>
      <c r="AJ243">
        <v>0</v>
      </c>
      <c r="AK243">
        <v>1</v>
      </c>
      <c r="AL243">
        <v>1</v>
      </c>
      <c r="AM243">
        <v>1</v>
      </c>
      <c r="AN243">
        <v>0</v>
      </c>
      <c r="AO243">
        <v>0</v>
      </c>
      <c r="AP243">
        <v>18</v>
      </c>
      <c r="AQ243">
        <v>1</v>
      </c>
      <c r="AR243">
        <v>1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1</v>
      </c>
      <c r="BC243">
        <v>24</v>
      </c>
      <c r="BD243">
        <v>17</v>
      </c>
      <c r="BE243">
        <v>3</v>
      </c>
      <c r="BF243">
        <v>0</v>
      </c>
      <c r="BG243">
        <v>0</v>
      </c>
      <c r="BH243">
        <v>0</v>
      </c>
      <c r="BI243">
        <v>1</v>
      </c>
      <c r="BJ243">
        <v>2</v>
      </c>
      <c r="BK243">
        <v>0</v>
      </c>
      <c r="BL243">
        <v>0</v>
      </c>
      <c r="BM243">
        <v>1</v>
      </c>
      <c r="BN243">
        <v>24</v>
      </c>
      <c r="BO243">
        <v>169</v>
      </c>
      <c r="BP243">
        <v>160</v>
      </c>
      <c r="BQ243">
        <v>2</v>
      </c>
      <c r="BR243">
        <v>1</v>
      </c>
      <c r="BS243">
        <v>0</v>
      </c>
      <c r="BT243">
        <v>1</v>
      </c>
      <c r="BU243">
        <v>0</v>
      </c>
      <c r="BV243">
        <v>1</v>
      </c>
      <c r="BW243">
        <v>0</v>
      </c>
      <c r="BX243">
        <v>2</v>
      </c>
      <c r="BY243">
        <v>2</v>
      </c>
      <c r="BZ243">
        <v>169</v>
      </c>
      <c r="CA243">
        <v>8</v>
      </c>
      <c r="CB243">
        <v>4</v>
      </c>
      <c r="CC243">
        <v>0</v>
      </c>
      <c r="CD243">
        <v>0</v>
      </c>
      <c r="CE243">
        <v>0</v>
      </c>
      <c r="CF243">
        <v>0</v>
      </c>
      <c r="CG243">
        <v>1</v>
      </c>
      <c r="CH243">
        <v>1</v>
      </c>
      <c r="CI243">
        <v>1</v>
      </c>
      <c r="CJ243">
        <v>1</v>
      </c>
      <c r="CK243">
        <v>0</v>
      </c>
      <c r="CL243">
        <v>8</v>
      </c>
      <c r="CM243">
        <v>9</v>
      </c>
      <c r="CN243">
        <v>3</v>
      </c>
      <c r="CO243">
        <v>1</v>
      </c>
      <c r="CP243">
        <v>2</v>
      </c>
      <c r="CQ243">
        <v>0</v>
      </c>
      <c r="CR243">
        <v>2</v>
      </c>
      <c r="CS243">
        <v>0</v>
      </c>
      <c r="CT243">
        <v>0</v>
      </c>
      <c r="CU243">
        <v>0</v>
      </c>
      <c r="CV243">
        <v>0</v>
      </c>
      <c r="CW243">
        <v>1</v>
      </c>
      <c r="CX243">
        <v>9</v>
      </c>
      <c r="CY243">
        <v>16</v>
      </c>
      <c r="CZ243">
        <v>13</v>
      </c>
      <c r="DA243">
        <v>0</v>
      </c>
      <c r="DB243">
        <v>0</v>
      </c>
      <c r="DC243">
        <v>1</v>
      </c>
      <c r="DD243">
        <v>1</v>
      </c>
      <c r="DE243">
        <v>0</v>
      </c>
      <c r="DF243">
        <v>1</v>
      </c>
      <c r="DG243">
        <v>0</v>
      </c>
      <c r="DH243">
        <v>0</v>
      </c>
      <c r="DI243">
        <v>0</v>
      </c>
      <c r="DJ243">
        <v>16</v>
      </c>
      <c r="DK243">
        <v>72</v>
      </c>
      <c r="DL243">
        <v>39</v>
      </c>
      <c r="DM243">
        <v>24</v>
      </c>
      <c r="DN243">
        <v>0</v>
      </c>
      <c r="DO243">
        <v>0</v>
      </c>
      <c r="DP243">
        <v>1</v>
      </c>
      <c r="DQ243">
        <v>1</v>
      </c>
      <c r="DR243">
        <v>4</v>
      </c>
      <c r="DS243">
        <v>0</v>
      </c>
      <c r="DT243">
        <v>3</v>
      </c>
      <c r="DU243">
        <v>0</v>
      </c>
      <c r="DV243">
        <v>72</v>
      </c>
      <c r="DW243">
        <v>4</v>
      </c>
      <c r="DX243">
        <v>0</v>
      </c>
      <c r="DY243">
        <v>2</v>
      </c>
      <c r="DZ243">
        <v>0</v>
      </c>
      <c r="EA243">
        <v>0</v>
      </c>
      <c r="EB243">
        <v>1</v>
      </c>
      <c r="EC243">
        <v>1</v>
      </c>
      <c r="ED243">
        <v>0</v>
      </c>
      <c r="EE243">
        <v>0</v>
      </c>
      <c r="EF243">
        <v>0</v>
      </c>
      <c r="EG243">
        <v>0</v>
      </c>
      <c r="EH243">
        <v>4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3</v>
      </c>
      <c r="FF243">
        <v>0</v>
      </c>
      <c r="FG243">
        <v>1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1</v>
      </c>
      <c r="FN243">
        <v>0</v>
      </c>
      <c r="FO243">
        <v>1</v>
      </c>
      <c r="FP243">
        <v>3</v>
      </c>
    </row>
    <row r="244" spans="1:172" ht="14.25">
      <c r="A244">
        <v>239</v>
      </c>
      <c r="B244" t="str">
        <f t="shared" si="43"/>
        <v>101201</v>
      </c>
      <c r="C244" t="str">
        <f t="shared" si="44"/>
        <v>m. Radomsko</v>
      </c>
      <c r="D244" t="str">
        <f t="shared" si="45"/>
        <v>radomszczański</v>
      </c>
      <c r="E244" t="str">
        <f t="shared" si="35"/>
        <v>łódzkie</v>
      </c>
      <c r="F244">
        <v>19</v>
      </c>
      <c r="G244" t="str">
        <f>"Zespół Szkolno-Gimnazjalny Nr 7, ul. 11 Listopada 16, 97-500 Radomsko"</f>
        <v>Zespół Szkolno-Gimnazjalny Nr 7, ul. 11 Listopada 16, 97-500 Radomsko</v>
      </c>
      <c r="H244">
        <v>2264</v>
      </c>
      <c r="I244">
        <v>2264</v>
      </c>
      <c r="J244">
        <v>0</v>
      </c>
      <c r="K244">
        <v>1590</v>
      </c>
      <c r="L244">
        <v>1152</v>
      </c>
      <c r="M244">
        <v>438</v>
      </c>
      <c r="N244">
        <v>438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438</v>
      </c>
      <c r="Z244">
        <v>0</v>
      </c>
      <c r="AA244">
        <v>0</v>
      </c>
      <c r="AB244">
        <v>438</v>
      </c>
      <c r="AC244">
        <v>18</v>
      </c>
      <c r="AD244">
        <v>420</v>
      </c>
      <c r="AE244">
        <v>22</v>
      </c>
      <c r="AF244">
        <v>3</v>
      </c>
      <c r="AG244">
        <v>2</v>
      </c>
      <c r="AH244">
        <v>16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22</v>
      </c>
      <c r="AQ244">
        <v>26</v>
      </c>
      <c r="AR244">
        <v>2</v>
      </c>
      <c r="AS244">
        <v>0</v>
      </c>
      <c r="AT244">
        <v>20</v>
      </c>
      <c r="AU244">
        <v>0</v>
      </c>
      <c r="AV244">
        <v>0</v>
      </c>
      <c r="AW244">
        <v>0</v>
      </c>
      <c r="AX244">
        <v>1</v>
      </c>
      <c r="AY244">
        <v>2</v>
      </c>
      <c r="AZ244">
        <v>1</v>
      </c>
      <c r="BA244">
        <v>0</v>
      </c>
      <c r="BB244">
        <v>26</v>
      </c>
      <c r="BC244">
        <v>41</v>
      </c>
      <c r="BD244">
        <v>13</v>
      </c>
      <c r="BE244">
        <v>3</v>
      </c>
      <c r="BF244">
        <v>0</v>
      </c>
      <c r="BG244">
        <v>3</v>
      </c>
      <c r="BH244">
        <v>0</v>
      </c>
      <c r="BI244">
        <v>1</v>
      </c>
      <c r="BJ244">
        <v>6</v>
      </c>
      <c r="BK244">
        <v>0</v>
      </c>
      <c r="BL244">
        <v>3</v>
      </c>
      <c r="BM244">
        <v>12</v>
      </c>
      <c r="BN244">
        <v>41</v>
      </c>
      <c r="BO244">
        <v>162</v>
      </c>
      <c r="BP244">
        <v>143</v>
      </c>
      <c r="BQ244">
        <v>4</v>
      </c>
      <c r="BR244">
        <v>7</v>
      </c>
      <c r="BS244">
        <v>2</v>
      </c>
      <c r="BT244">
        <v>0</v>
      </c>
      <c r="BU244">
        <v>0</v>
      </c>
      <c r="BV244">
        <v>0</v>
      </c>
      <c r="BW244">
        <v>3</v>
      </c>
      <c r="BX244">
        <v>1</v>
      </c>
      <c r="BY244">
        <v>2</v>
      </c>
      <c r="BZ244">
        <v>162</v>
      </c>
      <c r="CA244">
        <v>11</v>
      </c>
      <c r="CB244">
        <v>6</v>
      </c>
      <c r="CC244">
        <v>0</v>
      </c>
      <c r="CD244">
        <v>1</v>
      </c>
      <c r="CE244">
        <v>1</v>
      </c>
      <c r="CF244">
        <v>1</v>
      </c>
      <c r="CG244">
        <v>0</v>
      </c>
      <c r="CH244">
        <v>0</v>
      </c>
      <c r="CI244">
        <v>1</v>
      </c>
      <c r="CJ244">
        <v>0</v>
      </c>
      <c r="CK244">
        <v>1</v>
      </c>
      <c r="CL244">
        <v>11</v>
      </c>
      <c r="CM244">
        <v>4</v>
      </c>
      <c r="CN244">
        <v>3</v>
      </c>
      <c r="CO244">
        <v>0</v>
      </c>
      <c r="CP244">
        <v>0</v>
      </c>
      <c r="CQ244">
        <v>0</v>
      </c>
      <c r="CR244">
        <v>0</v>
      </c>
      <c r="CS244">
        <v>1</v>
      </c>
      <c r="CT244">
        <v>0</v>
      </c>
      <c r="CU244">
        <v>0</v>
      </c>
      <c r="CV244">
        <v>0</v>
      </c>
      <c r="CW244">
        <v>0</v>
      </c>
      <c r="CX244">
        <v>4</v>
      </c>
      <c r="CY244">
        <v>22</v>
      </c>
      <c r="CZ244">
        <v>15</v>
      </c>
      <c r="DA244">
        <v>1</v>
      </c>
      <c r="DB244">
        <v>0</v>
      </c>
      <c r="DC244">
        <v>1</v>
      </c>
      <c r="DD244">
        <v>1</v>
      </c>
      <c r="DE244">
        <v>0</v>
      </c>
      <c r="DF244">
        <v>2</v>
      </c>
      <c r="DG244">
        <v>0</v>
      </c>
      <c r="DH244">
        <v>2</v>
      </c>
      <c r="DI244">
        <v>0</v>
      </c>
      <c r="DJ244">
        <v>22</v>
      </c>
      <c r="DK244">
        <v>120</v>
      </c>
      <c r="DL244">
        <v>55</v>
      </c>
      <c r="DM244">
        <v>48</v>
      </c>
      <c r="DN244">
        <v>0</v>
      </c>
      <c r="DO244">
        <v>0</v>
      </c>
      <c r="DP244">
        <v>2</v>
      </c>
      <c r="DQ244">
        <v>0</v>
      </c>
      <c r="DR244">
        <v>8</v>
      </c>
      <c r="DS244">
        <v>1</v>
      </c>
      <c r="DT244">
        <v>3</v>
      </c>
      <c r="DU244">
        <v>3</v>
      </c>
      <c r="DV244">
        <v>120</v>
      </c>
      <c r="DW244">
        <v>8</v>
      </c>
      <c r="DX244">
        <v>4</v>
      </c>
      <c r="DY244">
        <v>3</v>
      </c>
      <c r="DZ244">
        <v>0</v>
      </c>
      <c r="EA244">
        <v>1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8</v>
      </c>
      <c r="EI244">
        <v>2</v>
      </c>
      <c r="EJ244">
        <v>0</v>
      </c>
      <c r="EK244">
        <v>1</v>
      </c>
      <c r="EL244">
        <v>0</v>
      </c>
      <c r="EM244">
        <v>1</v>
      </c>
      <c r="EN244">
        <v>0</v>
      </c>
      <c r="EO244">
        <v>0</v>
      </c>
      <c r="EP244">
        <v>0</v>
      </c>
      <c r="EQ244">
        <v>0</v>
      </c>
      <c r="ER244">
        <v>2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2</v>
      </c>
      <c r="FF244">
        <v>1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1</v>
      </c>
      <c r="FN244">
        <v>0</v>
      </c>
      <c r="FO244">
        <v>0</v>
      </c>
      <c r="FP244">
        <v>2</v>
      </c>
    </row>
    <row r="245" spans="1:172" ht="14.25">
      <c r="A245">
        <v>240</v>
      </c>
      <c r="B245" t="str">
        <f t="shared" si="43"/>
        <v>101201</v>
      </c>
      <c r="C245" t="str">
        <f t="shared" si="44"/>
        <v>m. Radomsko</v>
      </c>
      <c r="D245" t="str">
        <f t="shared" si="45"/>
        <v>radomszczański</v>
      </c>
      <c r="E245" t="str">
        <f t="shared" si="35"/>
        <v>łódzkie</v>
      </c>
      <c r="F245">
        <v>20</v>
      </c>
      <c r="G245" t="str">
        <f>"Publiczna Szkoła Podstawowa Nr 8, ul. Reja 81, 97-500 Radomsko"</f>
        <v>Publiczna Szkoła Podstawowa Nr 8, ul. Reja 81, 97-500 Radomsko</v>
      </c>
      <c r="H245">
        <v>1360</v>
      </c>
      <c r="I245">
        <v>1360</v>
      </c>
      <c r="J245">
        <v>0</v>
      </c>
      <c r="K245">
        <v>959</v>
      </c>
      <c r="L245">
        <v>684</v>
      </c>
      <c r="M245">
        <v>275</v>
      </c>
      <c r="N245">
        <v>275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275</v>
      </c>
      <c r="Z245">
        <v>0</v>
      </c>
      <c r="AA245">
        <v>0</v>
      </c>
      <c r="AB245">
        <v>275</v>
      </c>
      <c r="AC245">
        <v>4</v>
      </c>
      <c r="AD245">
        <v>271</v>
      </c>
      <c r="AE245">
        <v>20</v>
      </c>
      <c r="AF245">
        <v>5</v>
      </c>
      <c r="AG245">
        <v>0</v>
      </c>
      <c r="AH245">
        <v>11</v>
      </c>
      <c r="AI245">
        <v>0</v>
      </c>
      <c r="AJ245">
        <v>0</v>
      </c>
      <c r="AK245">
        <v>1</v>
      </c>
      <c r="AL245">
        <v>0</v>
      </c>
      <c r="AM245">
        <v>0</v>
      </c>
      <c r="AN245">
        <v>0</v>
      </c>
      <c r="AO245">
        <v>3</v>
      </c>
      <c r="AP245">
        <v>20</v>
      </c>
      <c r="AQ245">
        <v>3</v>
      </c>
      <c r="AR245">
        <v>0</v>
      </c>
      <c r="AS245">
        <v>0</v>
      </c>
      <c r="AT245">
        <v>2</v>
      </c>
      <c r="AU245">
        <v>0</v>
      </c>
      <c r="AV245">
        <v>0</v>
      </c>
      <c r="AW245">
        <v>0</v>
      </c>
      <c r="AX245">
        <v>0</v>
      </c>
      <c r="AY245">
        <v>1</v>
      </c>
      <c r="AZ245">
        <v>0</v>
      </c>
      <c r="BA245">
        <v>0</v>
      </c>
      <c r="BB245">
        <v>3</v>
      </c>
      <c r="BC245">
        <v>15</v>
      </c>
      <c r="BD245">
        <v>11</v>
      </c>
      <c r="BE245">
        <v>0</v>
      </c>
      <c r="BF245">
        <v>0</v>
      </c>
      <c r="BG245">
        <v>1</v>
      </c>
      <c r="BH245">
        <v>0</v>
      </c>
      <c r="BI245">
        <v>1</v>
      </c>
      <c r="BJ245">
        <v>1</v>
      </c>
      <c r="BK245">
        <v>0</v>
      </c>
      <c r="BL245">
        <v>0</v>
      </c>
      <c r="BM245">
        <v>1</v>
      </c>
      <c r="BN245">
        <v>15</v>
      </c>
      <c r="BO245">
        <v>135</v>
      </c>
      <c r="BP245">
        <v>125</v>
      </c>
      <c r="BQ245">
        <v>1</v>
      </c>
      <c r="BR245">
        <v>2</v>
      </c>
      <c r="BS245">
        <v>4</v>
      </c>
      <c r="BT245">
        <v>0</v>
      </c>
      <c r="BU245">
        <v>0</v>
      </c>
      <c r="BV245">
        <v>2</v>
      </c>
      <c r="BW245">
        <v>0</v>
      </c>
      <c r="BX245">
        <v>0</v>
      </c>
      <c r="BY245">
        <v>1</v>
      </c>
      <c r="BZ245">
        <v>135</v>
      </c>
      <c r="CA245">
        <v>3</v>
      </c>
      <c r="CB245">
        <v>0</v>
      </c>
      <c r="CC245">
        <v>0</v>
      </c>
      <c r="CD245">
        <v>1</v>
      </c>
      <c r="CE245">
        <v>0</v>
      </c>
      <c r="CF245">
        <v>0</v>
      </c>
      <c r="CG245">
        <v>1</v>
      </c>
      <c r="CH245">
        <v>0</v>
      </c>
      <c r="CI245">
        <v>0</v>
      </c>
      <c r="CJ245">
        <v>0</v>
      </c>
      <c r="CK245">
        <v>1</v>
      </c>
      <c r="CL245">
        <v>3</v>
      </c>
      <c r="CM245">
        <v>1</v>
      </c>
      <c r="CN245">
        <v>1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1</v>
      </c>
      <c r="CY245">
        <v>7</v>
      </c>
      <c r="CZ245">
        <v>4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1</v>
      </c>
      <c r="DG245">
        <v>0</v>
      </c>
      <c r="DH245">
        <v>1</v>
      </c>
      <c r="DI245">
        <v>1</v>
      </c>
      <c r="DJ245">
        <v>7</v>
      </c>
      <c r="DK245">
        <v>84</v>
      </c>
      <c r="DL245">
        <v>44</v>
      </c>
      <c r="DM245">
        <v>37</v>
      </c>
      <c r="DN245">
        <v>0</v>
      </c>
      <c r="DO245">
        <v>0</v>
      </c>
      <c r="DP245">
        <v>1</v>
      </c>
      <c r="DQ245">
        <v>0</v>
      </c>
      <c r="DR245">
        <v>1</v>
      </c>
      <c r="DS245">
        <v>0</v>
      </c>
      <c r="DT245">
        <v>1</v>
      </c>
      <c r="DU245">
        <v>0</v>
      </c>
      <c r="DV245">
        <v>84</v>
      </c>
      <c r="DW245">
        <v>3</v>
      </c>
      <c r="DX245">
        <v>1</v>
      </c>
      <c r="DY245">
        <v>0</v>
      </c>
      <c r="DZ245">
        <v>0</v>
      </c>
      <c r="EA245">
        <v>0</v>
      </c>
      <c r="EB245">
        <v>2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3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</row>
    <row r="246" spans="1:172" ht="14.25">
      <c r="A246">
        <v>241</v>
      </c>
      <c r="B246" t="str">
        <f t="shared" si="43"/>
        <v>101201</v>
      </c>
      <c r="C246" t="str">
        <f t="shared" si="44"/>
        <v>m. Radomsko</v>
      </c>
      <c r="D246" t="str">
        <f t="shared" si="45"/>
        <v>radomszczański</v>
      </c>
      <c r="E246" t="str">
        <f t="shared" si="35"/>
        <v>łódzkie</v>
      </c>
      <c r="F246">
        <v>21</v>
      </c>
      <c r="G246" t="str">
        <f>"Publiczna Szkoła Podstawowa Nr 5, ul. Narutowicza 207, 97-500 Radomsko"</f>
        <v>Publiczna Szkoła Podstawowa Nr 5, ul. Narutowicza 207, 97-500 Radomsko</v>
      </c>
      <c r="H246">
        <v>1742</v>
      </c>
      <c r="I246">
        <v>1742</v>
      </c>
      <c r="J246">
        <v>0</v>
      </c>
      <c r="K246">
        <v>1229</v>
      </c>
      <c r="L246">
        <v>882</v>
      </c>
      <c r="M246">
        <v>347</v>
      </c>
      <c r="N246">
        <v>347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347</v>
      </c>
      <c r="Z246">
        <v>0</v>
      </c>
      <c r="AA246">
        <v>0</v>
      </c>
      <c r="AB246">
        <v>347</v>
      </c>
      <c r="AC246">
        <v>16</v>
      </c>
      <c r="AD246">
        <v>331</v>
      </c>
      <c r="AE246">
        <v>2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2</v>
      </c>
      <c r="AP246">
        <v>2</v>
      </c>
      <c r="AQ246">
        <v>15</v>
      </c>
      <c r="AR246">
        <v>1</v>
      </c>
      <c r="AS246">
        <v>1</v>
      </c>
      <c r="AT246">
        <v>9</v>
      </c>
      <c r="AU246">
        <v>0</v>
      </c>
      <c r="AV246">
        <v>0</v>
      </c>
      <c r="AW246">
        <v>0</v>
      </c>
      <c r="AX246">
        <v>3</v>
      </c>
      <c r="AY246">
        <v>0</v>
      </c>
      <c r="AZ246">
        <v>0</v>
      </c>
      <c r="BA246">
        <v>1</v>
      </c>
      <c r="BB246">
        <v>15</v>
      </c>
      <c r="BC246">
        <v>37</v>
      </c>
      <c r="BD246">
        <v>29</v>
      </c>
      <c r="BE246">
        <v>4</v>
      </c>
      <c r="BF246">
        <v>1</v>
      </c>
      <c r="BG246">
        <v>0</v>
      </c>
      <c r="BH246">
        <v>0</v>
      </c>
      <c r="BI246">
        <v>1</v>
      </c>
      <c r="BJ246">
        <v>1</v>
      </c>
      <c r="BK246">
        <v>1</v>
      </c>
      <c r="BL246">
        <v>0</v>
      </c>
      <c r="BM246">
        <v>0</v>
      </c>
      <c r="BN246">
        <v>37</v>
      </c>
      <c r="BO246">
        <v>156</v>
      </c>
      <c r="BP246">
        <v>139</v>
      </c>
      <c r="BQ246">
        <v>2</v>
      </c>
      <c r="BR246">
        <v>9</v>
      </c>
      <c r="BS246">
        <v>0</v>
      </c>
      <c r="BT246">
        <v>1</v>
      </c>
      <c r="BU246">
        <v>2</v>
      </c>
      <c r="BV246">
        <v>0</v>
      </c>
      <c r="BW246">
        <v>0</v>
      </c>
      <c r="BX246">
        <v>0</v>
      </c>
      <c r="BY246">
        <v>3</v>
      </c>
      <c r="BZ246">
        <v>156</v>
      </c>
      <c r="CA246">
        <v>10</v>
      </c>
      <c r="CB246">
        <v>6</v>
      </c>
      <c r="CC246">
        <v>1</v>
      </c>
      <c r="CD246">
        <v>0</v>
      </c>
      <c r="CE246">
        <v>1</v>
      </c>
      <c r="CF246">
        <v>2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10</v>
      </c>
      <c r="CM246">
        <v>4</v>
      </c>
      <c r="CN246">
        <v>4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4</v>
      </c>
      <c r="CY246">
        <v>21</v>
      </c>
      <c r="CZ246">
        <v>16</v>
      </c>
      <c r="DA246">
        <v>1</v>
      </c>
      <c r="DB246">
        <v>1</v>
      </c>
      <c r="DC246">
        <v>0</v>
      </c>
      <c r="DD246">
        <v>0</v>
      </c>
      <c r="DE246">
        <v>0</v>
      </c>
      <c r="DF246">
        <v>1</v>
      </c>
      <c r="DG246">
        <v>2</v>
      </c>
      <c r="DH246">
        <v>0</v>
      </c>
      <c r="DI246">
        <v>0</v>
      </c>
      <c r="DJ246">
        <v>21</v>
      </c>
      <c r="DK246">
        <v>83</v>
      </c>
      <c r="DL246">
        <v>30</v>
      </c>
      <c r="DM246">
        <v>51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1</v>
      </c>
      <c r="DU246">
        <v>1</v>
      </c>
      <c r="DV246">
        <v>83</v>
      </c>
      <c r="DW246">
        <v>3</v>
      </c>
      <c r="DX246">
        <v>1</v>
      </c>
      <c r="DY246">
        <v>0</v>
      </c>
      <c r="DZ246">
        <v>0</v>
      </c>
      <c r="EA246">
        <v>0</v>
      </c>
      <c r="EB246">
        <v>0</v>
      </c>
      <c r="EC246">
        <v>2</v>
      </c>
      <c r="ED246">
        <v>0</v>
      </c>
      <c r="EE246">
        <v>0</v>
      </c>
      <c r="EF246">
        <v>0</v>
      </c>
      <c r="EG246">
        <v>0</v>
      </c>
      <c r="EH246">
        <v>3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0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</row>
    <row r="247" spans="1:172" ht="14.25">
      <c r="A247">
        <v>242</v>
      </c>
      <c r="B247" t="str">
        <f t="shared" si="43"/>
        <v>101201</v>
      </c>
      <c r="C247" t="str">
        <f t="shared" si="44"/>
        <v>m. Radomsko</v>
      </c>
      <c r="D247" t="str">
        <f t="shared" si="45"/>
        <v>radomszczański</v>
      </c>
      <c r="E247" t="str">
        <f t="shared" si="35"/>
        <v>łódzkie</v>
      </c>
      <c r="F247">
        <v>22</v>
      </c>
      <c r="G247" t="str">
        <f>"Świetlica Środowiskowa, ul. Strażacka 13, 97-500 Radomsko"</f>
        <v>Świetlica Środowiskowa, ul. Strażacka 13, 97-500 Radomsko</v>
      </c>
      <c r="H247">
        <v>516</v>
      </c>
      <c r="I247">
        <v>516</v>
      </c>
      <c r="J247">
        <v>0</v>
      </c>
      <c r="K247">
        <v>360</v>
      </c>
      <c r="L247">
        <v>293</v>
      </c>
      <c r="M247">
        <v>67</v>
      </c>
      <c r="N247">
        <v>67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67</v>
      </c>
      <c r="Z247">
        <v>0</v>
      </c>
      <c r="AA247">
        <v>0</v>
      </c>
      <c r="AB247">
        <v>67</v>
      </c>
      <c r="AC247">
        <v>4</v>
      </c>
      <c r="AD247">
        <v>63</v>
      </c>
      <c r="AE247">
        <v>4</v>
      </c>
      <c r="AF247">
        <v>0</v>
      </c>
      <c r="AG247">
        <v>0</v>
      </c>
      <c r="AH247">
        <v>4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4</v>
      </c>
      <c r="AQ247">
        <v>6</v>
      </c>
      <c r="AR247">
        <v>2</v>
      </c>
      <c r="AS247">
        <v>0</v>
      </c>
      <c r="AT247">
        <v>2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2</v>
      </c>
      <c r="BB247">
        <v>6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23</v>
      </c>
      <c r="BP247">
        <v>20</v>
      </c>
      <c r="BQ247">
        <v>0</v>
      </c>
      <c r="BR247">
        <v>2</v>
      </c>
      <c r="BS247">
        <v>1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23</v>
      </c>
      <c r="CA247">
        <v>1</v>
      </c>
      <c r="CB247">
        <v>0</v>
      </c>
      <c r="CC247">
        <v>0</v>
      </c>
      <c r="CD247">
        <v>1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1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2</v>
      </c>
      <c r="CZ247">
        <v>0</v>
      </c>
      <c r="DA247">
        <v>1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1</v>
      </c>
      <c r="DH247">
        <v>0</v>
      </c>
      <c r="DI247">
        <v>0</v>
      </c>
      <c r="DJ247">
        <v>2</v>
      </c>
      <c r="DK247">
        <v>24</v>
      </c>
      <c r="DL247">
        <v>10</v>
      </c>
      <c r="DM247">
        <v>12</v>
      </c>
      <c r="DN247">
        <v>0</v>
      </c>
      <c r="DO247">
        <v>0</v>
      </c>
      <c r="DP247">
        <v>2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24</v>
      </c>
      <c r="DW247">
        <v>3</v>
      </c>
      <c r="DX247">
        <v>0</v>
      </c>
      <c r="DY247">
        <v>2</v>
      </c>
      <c r="DZ247">
        <v>0</v>
      </c>
      <c r="EA247">
        <v>0</v>
      </c>
      <c r="EB247">
        <v>1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3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</row>
    <row r="248" spans="1:172" ht="14.25">
      <c r="A248">
        <v>243</v>
      </c>
      <c r="B248" t="str">
        <f t="shared" si="43"/>
        <v>101201</v>
      </c>
      <c r="C248" t="str">
        <f t="shared" si="44"/>
        <v>m. Radomsko</v>
      </c>
      <c r="D248" t="str">
        <f t="shared" si="45"/>
        <v>radomszczański</v>
      </c>
      <c r="E248" t="str">
        <f t="shared" si="35"/>
        <v>łódzkie</v>
      </c>
      <c r="F248">
        <v>23</v>
      </c>
      <c r="G248" t="str">
        <f>"Dom Pomocy Społecznej, ul. Ignacego Krasickiego 138, 97-500 Radomsko"</f>
        <v>Dom Pomocy Społecznej, ul. Ignacego Krasickiego 138, 97-500 Radomsko</v>
      </c>
      <c r="H248">
        <v>31</v>
      </c>
      <c r="I248">
        <v>31</v>
      </c>
      <c r="J248">
        <v>0</v>
      </c>
      <c r="K248">
        <v>31</v>
      </c>
      <c r="L248">
        <v>19</v>
      </c>
      <c r="M248">
        <v>12</v>
      </c>
      <c r="N248">
        <v>12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12</v>
      </c>
      <c r="Z248">
        <v>0</v>
      </c>
      <c r="AA248">
        <v>0</v>
      </c>
      <c r="AB248">
        <v>12</v>
      </c>
      <c r="AC248">
        <v>0</v>
      </c>
      <c r="AD248">
        <v>12</v>
      </c>
      <c r="AE248">
        <v>4</v>
      </c>
      <c r="AF248">
        <v>1</v>
      </c>
      <c r="AG248">
        <v>1</v>
      </c>
      <c r="AH248">
        <v>1</v>
      </c>
      <c r="AI248">
        <v>0</v>
      </c>
      <c r="AJ248">
        <v>0</v>
      </c>
      <c r="AK248">
        <v>1</v>
      </c>
      <c r="AL248">
        <v>0</v>
      </c>
      <c r="AM248">
        <v>0</v>
      </c>
      <c r="AN248">
        <v>0</v>
      </c>
      <c r="AO248">
        <v>0</v>
      </c>
      <c r="AP248">
        <v>4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1</v>
      </c>
      <c r="BD248">
        <v>0</v>
      </c>
      <c r="BE248">
        <v>0</v>
      </c>
      <c r="BF248">
        <v>0</v>
      </c>
      <c r="BG248">
        <v>1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1</v>
      </c>
      <c r="BO248">
        <v>6</v>
      </c>
      <c r="BP248">
        <v>4</v>
      </c>
      <c r="BQ248">
        <v>2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6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1</v>
      </c>
      <c r="DL248">
        <v>1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1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</row>
    <row r="249" spans="1:172" ht="14.25">
      <c r="A249">
        <v>244</v>
      </c>
      <c r="B249" t="str">
        <f t="shared" si="43"/>
        <v>101201</v>
      </c>
      <c r="C249" t="str">
        <f t="shared" si="44"/>
        <v>m. Radomsko</v>
      </c>
      <c r="D249" t="str">
        <f t="shared" si="45"/>
        <v>radomszczański</v>
      </c>
      <c r="E249" t="str">
        <f t="shared" si="35"/>
        <v>łódzkie</v>
      </c>
      <c r="F249">
        <v>24</v>
      </c>
      <c r="G249" t="str">
        <f>"Szpital Powiatowy, ul. Jagiellońska 36, 97-500 Radomsko"</f>
        <v>Szpital Powiatowy, ul. Jagiellońska 36, 97-500 Radomsko</v>
      </c>
      <c r="H249">
        <v>101</v>
      </c>
      <c r="I249">
        <v>101</v>
      </c>
      <c r="J249">
        <v>0</v>
      </c>
      <c r="K249">
        <v>300</v>
      </c>
      <c r="L249">
        <v>288</v>
      </c>
      <c r="M249">
        <v>12</v>
      </c>
      <c r="N249">
        <v>12</v>
      </c>
      <c r="O249">
        <v>0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12</v>
      </c>
      <c r="Z249">
        <v>0</v>
      </c>
      <c r="AA249">
        <v>0</v>
      </c>
      <c r="AB249">
        <v>12</v>
      </c>
      <c r="AC249">
        <v>0</v>
      </c>
      <c r="AD249">
        <v>12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3</v>
      </c>
      <c r="BD249">
        <v>2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1</v>
      </c>
      <c r="BM249">
        <v>0</v>
      </c>
      <c r="BN249">
        <v>3</v>
      </c>
      <c r="BO249">
        <v>5</v>
      </c>
      <c r="BP249">
        <v>2</v>
      </c>
      <c r="BQ249">
        <v>1</v>
      </c>
      <c r="BR249">
        <v>0</v>
      </c>
      <c r="BS249">
        <v>0</v>
      </c>
      <c r="BT249">
        <v>0</v>
      </c>
      <c r="BU249">
        <v>0</v>
      </c>
      <c r="BV249">
        <v>1</v>
      </c>
      <c r="BW249">
        <v>0</v>
      </c>
      <c r="BX249">
        <v>1</v>
      </c>
      <c r="BY249">
        <v>0</v>
      </c>
      <c r="BZ249">
        <v>5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3</v>
      </c>
      <c r="DL249">
        <v>2</v>
      </c>
      <c r="DM249">
        <v>1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3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1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1</v>
      </c>
      <c r="FB249">
        <v>0</v>
      </c>
      <c r="FC249">
        <v>0</v>
      </c>
      <c r="FD249">
        <v>1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</row>
    <row r="250" spans="1:172" ht="14.25">
      <c r="A250">
        <v>245</v>
      </c>
      <c r="B250" t="str">
        <f>"101202"</f>
        <v>101202</v>
      </c>
      <c r="C250" t="str">
        <f>"Dobryszyce"</f>
        <v>Dobryszyce</v>
      </c>
      <c r="D250" t="str">
        <f t="shared" si="45"/>
        <v>radomszczański</v>
      </c>
      <c r="E250" t="str">
        <f t="shared" si="35"/>
        <v>łódzkie</v>
      </c>
      <c r="F250">
        <v>1</v>
      </c>
      <c r="G250" t="str">
        <f>"Publiczna Szkoła Podstawowa, ul. Leśna 1, 97-505 Dobryszyce"</f>
        <v>Publiczna Szkoła Podstawowa, ul. Leśna 1, 97-505 Dobryszyce</v>
      </c>
      <c r="H250">
        <v>1043</v>
      </c>
      <c r="I250">
        <v>1043</v>
      </c>
      <c r="J250">
        <v>0</v>
      </c>
      <c r="K250">
        <v>730</v>
      </c>
      <c r="L250">
        <v>538</v>
      </c>
      <c r="M250">
        <v>192</v>
      </c>
      <c r="N250">
        <v>192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192</v>
      </c>
      <c r="Z250">
        <v>0</v>
      </c>
      <c r="AA250">
        <v>0</v>
      </c>
      <c r="AB250">
        <v>192</v>
      </c>
      <c r="AC250">
        <v>8</v>
      </c>
      <c r="AD250">
        <v>184</v>
      </c>
      <c r="AE250">
        <v>6</v>
      </c>
      <c r="AF250">
        <v>1</v>
      </c>
      <c r="AG250">
        <v>0</v>
      </c>
      <c r="AH250">
        <v>3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1</v>
      </c>
      <c r="AP250">
        <v>6</v>
      </c>
      <c r="AQ250">
        <v>3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1</v>
      </c>
      <c r="AZ250">
        <v>2</v>
      </c>
      <c r="BA250">
        <v>0</v>
      </c>
      <c r="BB250">
        <v>3</v>
      </c>
      <c r="BC250">
        <v>6</v>
      </c>
      <c r="BD250">
        <v>2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4</v>
      </c>
      <c r="BK250">
        <v>0</v>
      </c>
      <c r="BL250">
        <v>0</v>
      </c>
      <c r="BM250">
        <v>0</v>
      </c>
      <c r="BN250">
        <v>6</v>
      </c>
      <c r="BO250">
        <v>114</v>
      </c>
      <c r="BP250">
        <v>105</v>
      </c>
      <c r="BQ250">
        <v>1</v>
      </c>
      <c r="BR250">
        <v>1</v>
      </c>
      <c r="BS250">
        <v>3</v>
      </c>
      <c r="BT250">
        <v>0</v>
      </c>
      <c r="BU250">
        <v>1</v>
      </c>
      <c r="BV250">
        <v>0</v>
      </c>
      <c r="BW250">
        <v>2</v>
      </c>
      <c r="BX250">
        <v>1</v>
      </c>
      <c r="BY250">
        <v>0</v>
      </c>
      <c r="BZ250">
        <v>114</v>
      </c>
      <c r="CA250">
        <v>3</v>
      </c>
      <c r="CB250">
        <v>1</v>
      </c>
      <c r="CC250">
        <v>2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3</v>
      </c>
      <c r="CM250">
        <v>1</v>
      </c>
      <c r="CN250">
        <v>1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1</v>
      </c>
      <c r="CY250">
        <v>6</v>
      </c>
      <c r="CZ250">
        <v>6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6</v>
      </c>
      <c r="DK250">
        <v>17</v>
      </c>
      <c r="DL250">
        <v>11</v>
      </c>
      <c r="DM250">
        <v>4</v>
      </c>
      <c r="DN250">
        <v>0</v>
      </c>
      <c r="DO250">
        <v>0</v>
      </c>
      <c r="DP250">
        <v>0</v>
      </c>
      <c r="DQ250">
        <v>0</v>
      </c>
      <c r="DR250">
        <v>2</v>
      </c>
      <c r="DS250">
        <v>0</v>
      </c>
      <c r="DT250">
        <v>0</v>
      </c>
      <c r="DU250">
        <v>0</v>
      </c>
      <c r="DV250">
        <v>17</v>
      </c>
      <c r="DW250">
        <v>26</v>
      </c>
      <c r="DX250">
        <v>4</v>
      </c>
      <c r="DY250">
        <v>4</v>
      </c>
      <c r="DZ250">
        <v>0</v>
      </c>
      <c r="EA250">
        <v>0</v>
      </c>
      <c r="EB250">
        <v>17</v>
      </c>
      <c r="EC250">
        <v>0</v>
      </c>
      <c r="ED250">
        <v>0</v>
      </c>
      <c r="EE250">
        <v>0</v>
      </c>
      <c r="EF250">
        <v>1</v>
      </c>
      <c r="EG250">
        <v>0</v>
      </c>
      <c r="EH250">
        <v>26</v>
      </c>
      <c r="EI250">
        <v>2</v>
      </c>
      <c r="EJ250">
        <v>0</v>
      </c>
      <c r="EK250">
        <v>2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2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</row>
    <row r="251" spans="1:172" ht="14.25">
      <c r="A251">
        <v>246</v>
      </c>
      <c r="B251" t="str">
        <f>"101202"</f>
        <v>101202</v>
      </c>
      <c r="C251" t="str">
        <f>"Dobryszyce"</f>
        <v>Dobryszyce</v>
      </c>
      <c r="D251" t="str">
        <f t="shared" si="45"/>
        <v>radomszczański</v>
      </c>
      <c r="E251" t="str">
        <f t="shared" si="35"/>
        <v>łódzkie</v>
      </c>
      <c r="F251">
        <v>2</v>
      </c>
      <c r="G251" t="str">
        <f>"Urząd Gminy, ul. Wolności 8, 97-505 Dobryszyce"</f>
        <v>Urząd Gminy, ul. Wolności 8, 97-505 Dobryszyce</v>
      </c>
      <c r="H251">
        <v>1200</v>
      </c>
      <c r="I251">
        <v>1200</v>
      </c>
      <c r="J251">
        <v>0</v>
      </c>
      <c r="K251">
        <v>840</v>
      </c>
      <c r="L251">
        <v>577</v>
      </c>
      <c r="M251">
        <v>263</v>
      </c>
      <c r="N251">
        <v>263</v>
      </c>
      <c r="O251">
        <v>0</v>
      </c>
      <c r="P251">
        <v>0</v>
      </c>
      <c r="Q251">
        <v>2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263</v>
      </c>
      <c r="Z251">
        <v>0</v>
      </c>
      <c r="AA251">
        <v>0</v>
      </c>
      <c r="AB251">
        <v>263</v>
      </c>
      <c r="AC251">
        <v>21</v>
      </c>
      <c r="AD251">
        <v>242</v>
      </c>
      <c r="AE251">
        <v>12</v>
      </c>
      <c r="AF251">
        <v>0</v>
      </c>
      <c r="AG251">
        <v>1</v>
      </c>
      <c r="AH251">
        <v>9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2</v>
      </c>
      <c r="AP251">
        <v>12</v>
      </c>
      <c r="AQ251">
        <v>4</v>
      </c>
      <c r="AR251">
        <v>3</v>
      </c>
      <c r="AS251">
        <v>0</v>
      </c>
      <c r="AT251">
        <v>0</v>
      </c>
      <c r="AU251">
        <v>0</v>
      </c>
      <c r="AV251">
        <v>1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4</v>
      </c>
      <c r="BC251">
        <v>27</v>
      </c>
      <c r="BD251">
        <v>8</v>
      </c>
      <c r="BE251">
        <v>0</v>
      </c>
      <c r="BF251">
        <v>0</v>
      </c>
      <c r="BG251">
        <v>0</v>
      </c>
      <c r="BH251">
        <v>0</v>
      </c>
      <c r="BI251">
        <v>1</v>
      </c>
      <c r="BJ251">
        <v>15</v>
      </c>
      <c r="BK251">
        <v>0</v>
      </c>
      <c r="BL251">
        <v>2</v>
      </c>
      <c r="BM251">
        <v>1</v>
      </c>
      <c r="BN251">
        <v>27</v>
      </c>
      <c r="BO251">
        <v>105</v>
      </c>
      <c r="BP251">
        <v>96</v>
      </c>
      <c r="BQ251">
        <v>3</v>
      </c>
      <c r="BR251">
        <v>1</v>
      </c>
      <c r="BS251">
        <v>2</v>
      </c>
      <c r="BT251">
        <v>0</v>
      </c>
      <c r="BU251">
        <v>1</v>
      </c>
      <c r="BV251">
        <v>0</v>
      </c>
      <c r="BW251">
        <v>2</v>
      </c>
      <c r="BX251">
        <v>0</v>
      </c>
      <c r="BY251">
        <v>0</v>
      </c>
      <c r="BZ251">
        <v>105</v>
      </c>
      <c r="CA251">
        <v>10</v>
      </c>
      <c r="CB251">
        <v>4</v>
      </c>
      <c r="CC251">
        <v>0</v>
      </c>
      <c r="CD251">
        <v>1</v>
      </c>
      <c r="CE251">
        <v>0</v>
      </c>
      <c r="CF251">
        <v>0</v>
      </c>
      <c r="CG251">
        <v>0</v>
      </c>
      <c r="CH251">
        <v>0</v>
      </c>
      <c r="CI251">
        <v>3</v>
      </c>
      <c r="CJ251">
        <v>2</v>
      </c>
      <c r="CK251">
        <v>0</v>
      </c>
      <c r="CL251">
        <v>10</v>
      </c>
      <c r="CM251">
        <v>4</v>
      </c>
      <c r="CN251">
        <v>2</v>
      </c>
      <c r="CO251">
        <v>0</v>
      </c>
      <c r="CP251">
        <v>0</v>
      </c>
      <c r="CQ251">
        <v>1</v>
      </c>
      <c r="CR251">
        <v>0</v>
      </c>
      <c r="CS251">
        <v>0</v>
      </c>
      <c r="CT251">
        <v>0</v>
      </c>
      <c r="CU251">
        <v>1</v>
      </c>
      <c r="CV251">
        <v>0</v>
      </c>
      <c r="CW251">
        <v>0</v>
      </c>
      <c r="CX251">
        <v>4</v>
      </c>
      <c r="CY251">
        <v>6</v>
      </c>
      <c r="CZ251">
        <v>3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3</v>
      </c>
      <c r="DI251">
        <v>0</v>
      </c>
      <c r="DJ251">
        <v>6</v>
      </c>
      <c r="DK251">
        <v>41</v>
      </c>
      <c r="DL251">
        <v>23</v>
      </c>
      <c r="DM251">
        <v>12</v>
      </c>
      <c r="DN251">
        <v>0</v>
      </c>
      <c r="DO251">
        <v>0</v>
      </c>
      <c r="DP251">
        <v>0</v>
      </c>
      <c r="DQ251">
        <v>0</v>
      </c>
      <c r="DR251">
        <v>1</v>
      </c>
      <c r="DS251">
        <v>2</v>
      </c>
      <c r="DT251">
        <v>1</v>
      </c>
      <c r="DU251">
        <v>2</v>
      </c>
      <c r="DV251">
        <v>41</v>
      </c>
      <c r="DW251">
        <v>26</v>
      </c>
      <c r="DX251">
        <v>6</v>
      </c>
      <c r="DY251">
        <v>8</v>
      </c>
      <c r="DZ251">
        <v>0</v>
      </c>
      <c r="EA251">
        <v>0</v>
      </c>
      <c r="EB251">
        <v>8</v>
      </c>
      <c r="EC251">
        <v>0</v>
      </c>
      <c r="ED251">
        <v>0</v>
      </c>
      <c r="EE251">
        <v>4</v>
      </c>
      <c r="EF251">
        <v>0</v>
      </c>
      <c r="EG251">
        <v>0</v>
      </c>
      <c r="EH251">
        <v>26</v>
      </c>
      <c r="EI251">
        <v>4</v>
      </c>
      <c r="EJ251">
        <v>1</v>
      </c>
      <c r="EK251">
        <v>3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4</v>
      </c>
      <c r="ES251">
        <v>2</v>
      </c>
      <c r="ET251">
        <v>0</v>
      </c>
      <c r="EU251">
        <v>0</v>
      </c>
      <c r="EV251">
        <v>0</v>
      </c>
      <c r="EW251">
        <v>1</v>
      </c>
      <c r="EX251">
        <v>0</v>
      </c>
      <c r="EY251">
        <v>0</v>
      </c>
      <c r="EZ251">
        <v>0</v>
      </c>
      <c r="FA251">
        <v>0</v>
      </c>
      <c r="FB251">
        <v>1</v>
      </c>
      <c r="FC251">
        <v>0</v>
      </c>
      <c r="FD251">
        <v>2</v>
      </c>
      <c r="FE251">
        <v>1</v>
      </c>
      <c r="FF251">
        <v>1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1</v>
      </c>
    </row>
    <row r="252" spans="1:172" ht="14.25">
      <c r="A252">
        <v>247</v>
      </c>
      <c r="B252" t="str">
        <f>"101202"</f>
        <v>101202</v>
      </c>
      <c r="C252" t="str">
        <f>"Dobryszyce"</f>
        <v>Dobryszyce</v>
      </c>
      <c r="D252" t="str">
        <f t="shared" si="45"/>
        <v>radomszczański</v>
      </c>
      <c r="E252" t="str">
        <f t="shared" si="35"/>
        <v>łódzkie</v>
      </c>
      <c r="F252">
        <v>3</v>
      </c>
      <c r="G252" t="str">
        <f>"Szkoła Podstawowa, ul. Kolejowa 24, Blok Dobryszyce, 97-505 Dobryszyce"</f>
        <v>Szkoła Podstawowa, ul. Kolejowa 24, Blok Dobryszyce, 97-505 Dobryszyce</v>
      </c>
      <c r="H252">
        <v>1152</v>
      </c>
      <c r="I252">
        <v>1152</v>
      </c>
      <c r="J252">
        <v>0</v>
      </c>
      <c r="K252">
        <v>810</v>
      </c>
      <c r="L252">
        <v>608</v>
      </c>
      <c r="M252">
        <v>202</v>
      </c>
      <c r="N252">
        <v>202</v>
      </c>
      <c r="O252">
        <v>0</v>
      </c>
      <c r="P252">
        <v>0</v>
      </c>
      <c r="Q252">
        <v>1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202</v>
      </c>
      <c r="Z252">
        <v>0</v>
      </c>
      <c r="AA252">
        <v>0</v>
      </c>
      <c r="AB252">
        <v>202</v>
      </c>
      <c r="AC252">
        <v>5</v>
      </c>
      <c r="AD252">
        <v>197</v>
      </c>
      <c r="AE252">
        <v>6</v>
      </c>
      <c r="AF252">
        <v>0</v>
      </c>
      <c r="AG252">
        <v>1</v>
      </c>
      <c r="AH252">
        <v>4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v>0</v>
      </c>
      <c r="AO252">
        <v>0</v>
      </c>
      <c r="AP252">
        <v>6</v>
      </c>
      <c r="AQ252">
        <v>4</v>
      </c>
      <c r="AR252">
        <v>1</v>
      </c>
      <c r="AS252">
        <v>0</v>
      </c>
      <c r="AT252">
        <v>2</v>
      </c>
      <c r="AU252">
        <v>1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4</v>
      </c>
      <c r="BC252">
        <v>20</v>
      </c>
      <c r="BD252">
        <v>9</v>
      </c>
      <c r="BE252">
        <v>0</v>
      </c>
      <c r="BF252">
        <v>1</v>
      </c>
      <c r="BG252">
        <v>0</v>
      </c>
      <c r="BH252">
        <v>2</v>
      </c>
      <c r="BI252">
        <v>0</v>
      </c>
      <c r="BJ252">
        <v>2</v>
      </c>
      <c r="BK252">
        <v>0</v>
      </c>
      <c r="BL252">
        <v>2</v>
      </c>
      <c r="BM252">
        <v>4</v>
      </c>
      <c r="BN252">
        <v>20</v>
      </c>
      <c r="BO252">
        <v>84</v>
      </c>
      <c r="BP252">
        <v>77</v>
      </c>
      <c r="BQ252">
        <v>2</v>
      </c>
      <c r="BR252">
        <v>0</v>
      </c>
      <c r="BS252">
        <v>2</v>
      </c>
      <c r="BT252">
        <v>0</v>
      </c>
      <c r="BU252">
        <v>1</v>
      </c>
      <c r="BV252">
        <v>0</v>
      </c>
      <c r="BW252">
        <v>1</v>
      </c>
      <c r="BX252">
        <v>0</v>
      </c>
      <c r="BY252">
        <v>1</v>
      </c>
      <c r="BZ252">
        <v>84</v>
      </c>
      <c r="CA252">
        <v>4</v>
      </c>
      <c r="CB252">
        <v>3</v>
      </c>
      <c r="CC252">
        <v>0</v>
      </c>
      <c r="CD252">
        <v>0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4</v>
      </c>
      <c r="CM252">
        <v>4</v>
      </c>
      <c r="CN252">
        <v>4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4</v>
      </c>
      <c r="CY252">
        <v>19</v>
      </c>
      <c r="CZ252">
        <v>9</v>
      </c>
      <c r="DA252">
        <v>0</v>
      </c>
      <c r="DB252">
        <v>5</v>
      </c>
      <c r="DC252">
        <v>1</v>
      </c>
      <c r="DD252">
        <v>1</v>
      </c>
      <c r="DE252">
        <v>1</v>
      </c>
      <c r="DF252">
        <v>0</v>
      </c>
      <c r="DG252">
        <v>1</v>
      </c>
      <c r="DH252">
        <v>0</v>
      </c>
      <c r="DI252">
        <v>1</v>
      </c>
      <c r="DJ252">
        <v>19</v>
      </c>
      <c r="DK252">
        <v>46</v>
      </c>
      <c r="DL252">
        <v>24</v>
      </c>
      <c r="DM252">
        <v>14</v>
      </c>
      <c r="DN252">
        <v>0</v>
      </c>
      <c r="DO252">
        <v>0</v>
      </c>
      <c r="DP252">
        <v>1</v>
      </c>
      <c r="DQ252">
        <v>0</v>
      </c>
      <c r="DR252">
        <v>3</v>
      </c>
      <c r="DS252">
        <v>2</v>
      </c>
      <c r="DT252">
        <v>0</v>
      </c>
      <c r="DU252">
        <v>2</v>
      </c>
      <c r="DV252">
        <v>46</v>
      </c>
      <c r="DW252">
        <v>9</v>
      </c>
      <c r="DX252">
        <v>3</v>
      </c>
      <c r="DY252">
        <v>2</v>
      </c>
      <c r="DZ252">
        <v>0</v>
      </c>
      <c r="EA252">
        <v>0</v>
      </c>
      <c r="EB252">
        <v>2</v>
      </c>
      <c r="EC252">
        <v>1</v>
      </c>
      <c r="ED252">
        <v>1</v>
      </c>
      <c r="EE252">
        <v>0</v>
      </c>
      <c r="EF252">
        <v>0</v>
      </c>
      <c r="EG252">
        <v>0</v>
      </c>
      <c r="EH252">
        <v>9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1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1</v>
      </c>
      <c r="FD252">
        <v>1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</row>
    <row r="253" spans="1:172" ht="14.25">
      <c r="A253">
        <v>248</v>
      </c>
      <c r="B253" t="str">
        <f aca="true" t="shared" si="46" ref="B253:B258">"101203"</f>
        <v>101203</v>
      </c>
      <c r="C253" t="str">
        <f aca="true" t="shared" si="47" ref="C253:C258">"Gidle"</f>
        <v>Gidle</v>
      </c>
      <c r="D253" t="str">
        <f t="shared" si="45"/>
        <v>radomszczański</v>
      </c>
      <c r="E253" t="str">
        <f t="shared" si="35"/>
        <v>łódzkie</v>
      </c>
      <c r="F253">
        <v>1</v>
      </c>
      <c r="G253" t="str">
        <f>"Fabryka Drutów Specjalnych, Borowa 75A, 97-540 Gidle"</f>
        <v>Fabryka Drutów Specjalnych, Borowa 75A, 97-540 Gidle</v>
      </c>
      <c r="H253">
        <v>542</v>
      </c>
      <c r="I253">
        <v>542</v>
      </c>
      <c r="J253">
        <v>0</v>
      </c>
      <c r="K253">
        <v>380</v>
      </c>
      <c r="L253">
        <v>331</v>
      </c>
      <c r="M253">
        <v>49</v>
      </c>
      <c r="N253">
        <v>49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49</v>
      </c>
      <c r="Z253">
        <v>0</v>
      </c>
      <c r="AA253">
        <v>0</v>
      </c>
      <c r="AB253">
        <v>49</v>
      </c>
      <c r="AC253">
        <v>2</v>
      </c>
      <c r="AD253">
        <v>47</v>
      </c>
      <c r="AE253">
        <v>1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1</v>
      </c>
      <c r="AM253">
        <v>0</v>
      </c>
      <c r="AN253">
        <v>0</v>
      </c>
      <c r="AO253">
        <v>0</v>
      </c>
      <c r="AP253">
        <v>1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6</v>
      </c>
      <c r="BD253">
        <v>2</v>
      </c>
      <c r="BE253">
        <v>1</v>
      </c>
      <c r="BF253">
        <v>0</v>
      </c>
      <c r="BG253">
        <v>0</v>
      </c>
      <c r="BH253">
        <v>0</v>
      </c>
      <c r="BI253">
        <v>1</v>
      </c>
      <c r="BJ253">
        <v>1</v>
      </c>
      <c r="BK253">
        <v>0</v>
      </c>
      <c r="BL253">
        <v>1</v>
      </c>
      <c r="BM253">
        <v>0</v>
      </c>
      <c r="BN253">
        <v>6</v>
      </c>
      <c r="BO253">
        <v>23</v>
      </c>
      <c r="BP253">
        <v>19</v>
      </c>
      <c r="BQ253">
        <v>1</v>
      </c>
      <c r="BR253">
        <v>0</v>
      </c>
      <c r="BS253">
        <v>3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23</v>
      </c>
      <c r="CA253">
        <v>1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1</v>
      </c>
      <c r="CL253">
        <v>1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1</v>
      </c>
      <c r="CZ253">
        <v>1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1</v>
      </c>
      <c r="DK253">
        <v>8</v>
      </c>
      <c r="DL253">
        <v>4</v>
      </c>
      <c r="DM253">
        <v>4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8</v>
      </c>
      <c r="DW253">
        <v>7</v>
      </c>
      <c r="DX253">
        <v>1</v>
      </c>
      <c r="DY253">
        <v>2</v>
      </c>
      <c r="DZ253">
        <v>0</v>
      </c>
      <c r="EA253">
        <v>1</v>
      </c>
      <c r="EB253">
        <v>1</v>
      </c>
      <c r="EC253">
        <v>1</v>
      </c>
      <c r="ED253">
        <v>1</v>
      </c>
      <c r="EE253">
        <v>0</v>
      </c>
      <c r="EF253">
        <v>0</v>
      </c>
      <c r="EG253">
        <v>0</v>
      </c>
      <c r="EH253">
        <v>7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</row>
    <row r="254" spans="1:172" ht="14.25">
      <c r="A254">
        <v>249</v>
      </c>
      <c r="B254" t="str">
        <f t="shared" si="46"/>
        <v>101203</v>
      </c>
      <c r="C254" t="str">
        <f t="shared" si="47"/>
        <v>Gidle</v>
      </c>
      <c r="D254" t="str">
        <f t="shared" si="45"/>
        <v>radomszczański</v>
      </c>
      <c r="E254" t="str">
        <f t="shared" si="35"/>
        <v>łódzkie</v>
      </c>
      <c r="F254">
        <v>2</v>
      </c>
      <c r="G254" t="str">
        <f>"Publiczna Szkoła Podstawowa, Ciężkowice 36, 97-540 Gidle"</f>
        <v>Publiczna Szkoła Podstawowa, Ciężkowice 36, 97-540 Gidle</v>
      </c>
      <c r="H254">
        <v>698</v>
      </c>
      <c r="I254">
        <v>698</v>
      </c>
      <c r="J254">
        <v>0</v>
      </c>
      <c r="K254">
        <v>490</v>
      </c>
      <c r="L254">
        <v>404</v>
      </c>
      <c r="M254">
        <v>86</v>
      </c>
      <c r="N254">
        <v>86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86</v>
      </c>
      <c r="Z254">
        <v>0</v>
      </c>
      <c r="AA254">
        <v>0</v>
      </c>
      <c r="AB254">
        <v>86</v>
      </c>
      <c r="AC254">
        <v>4</v>
      </c>
      <c r="AD254">
        <v>82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1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1</v>
      </c>
      <c r="BC254">
        <v>6</v>
      </c>
      <c r="BD254">
        <v>5</v>
      </c>
      <c r="BE254">
        <v>0</v>
      </c>
      <c r="BF254">
        <v>0</v>
      </c>
      <c r="BG254">
        <v>0</v>
      </c>
      <c r="BH254">
        <v>0</v>
      </c>
      <c r="BI254">
        <v>1</v>
      </c>
      <c r="BJ254">
        <v>0</v>
      </c>
      <c r="BK254">
        <v>0</v>
      </c>
      <c r="BL254">
        <v>0</v>
      </c>
      <c r="BM254">
        <v>0</v>
      </c>
      <c r="BN254">
        <v>6</v>
      </c>
      <c r="BO254">
        <v>57</v>
      </c>
      <c r="BP254">
        <v>45</v>
      </c>
      <c r="BQ254">
        <v>5</v>
      </c>
      <c r="BR254">
        <v>0</v>
      </c>
      <c r="BS254">
        <v>0</v>
      </c>
      <c r="BT254">
        <v>1</v>
      </c>
      <c r="BU254">
        <v>4</v>
      </c>
      <c r="BV254">
        <v>1</v>
      </c>
      <c r="BW254">
        <v>1</v>
      </c>
      <c r="BX254">
        <v>0</v>
      </c>
      <c r="BY254">
        <v>0</v>
      </c>
      <c r="BZ254">
        <v>57</v>
      </c>
      <c r="CA254">
        <v>3</v>
      </c>
      <c r="CB254">
        <v>1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2</v>
      </c>
      <c r="CJ254">
        <v>0</v>
      </c>
      <c r="CK254">
        <v>0</v>
      </c>
      <c r="CL254">
        <v>3</v>
      </c>
      <c r="CM254">
        <v>1</v>
      </c>
      <c r="CN254">
        <v>0</v>
      </c>
      <c r="CO254">
        <v>1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1</v>
      </c>
      <c r="CY254">
        <v>5</v>
      </c>
      <c r="CZ254">
        <v>2</v>
      </c>
      <c r="DA254">
        <v>1</v>
      </c>
      <c r="DB254">
        <v>1</v>
      </c>
      <c r="DC254">
        <v>0</v>
      </c>
      <c r="DD254">
        <v>0</v>
      </c>
      <c r="DE254">
        <v>0</v>
      </c>
      <c r="DF254">
        <v>1</v>
      </c>
      <c r="DG254">
        <v>0</v>
      </c>
      <c r="DH254">
        <v>0</v>
      </c>
      <c r="DI254">
        <v>0</v>
      </c>
      <c r="DJ254">
        <v>5</v>
      </c>
      <c r="DK254">
        <v>4</v>
      </c>
      <c r="DL254">
        <v>2</v>
      </c>
      <c r="DM254">
        <v>2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4</v>
      </c>
      <c r="DW254">
        <v>4</v>
      </c>
      <c r="DX254">
        <v>1</v>
      </c>
      <c r="DY254">
        <v>1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2</v>
      </c>
      <c r="EG254">
        <v>0</v>
      </c>
      <c r="EH254">
        <v>4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1</v>
      </c>
      <c r="ET254">
        <v>0</v>
      </c>
      <c r="EU254">
        <v>0</v>
      </c>
      <c r="EV254">
        <v>0</v>
      </c>
      <c r="EW254">
        <v>0</v>
      </c>
      <c r="EX254">
        <v>1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1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</row>
    <row r="255" spans="1:172" ht="14.25">
      <c r="A255">
        <v>250</v>
      </c>
      <c r="B255" t="str">
        <f t="shared" si="46"/>
        <v>101203</v>
      </c>
      <c r="C255" t="str">
        <f t="shared" si="47"/>
        <v>Gidle</v>
      </c>
      <c r="D255" t="str">
        <f t="shared" si="45"/>
        <v>radomszczański</v>
      </c>
      <c r="E255" t="str">
        <f t="shared" si="35"/>
        <v>łódzkie</v>
      </c>
      <c r="F255">
        <v>3</v>
      </c>
      <c r="G255" t="str">
        <f>"Publiczne Gimnazjum w Gidlach, ul. Szkolna 7, 97-540 Gidle"</f>
        <v>Publiczne Gimnazjum w Gidlach, ul. Szkolna 7, 97-540 Gidle</v>
      </c>
      <c r="H255">
        <v>1234</v>
      </c>
      <c r="I255">
        <v>1234</v>
      </c>
      <c r="J255">
        <v>0</v>
      </c>
      <c r="K255">
        <v>860</v>
      </c>
      <c r="L255">
        <v>640</v>
      </c>
      <c r="M255">
        <v>220</v>
      </c>
      <c r="N255">
        <v>220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220</v>
      </c>
      <c r="Z255">
        <v>0</v>
      </c>
      <c r="AA255">
        <v>0</v>
      </c>
      <c r="AB255">
        <v>220</v>
      </c>
      <c r="AC255">
        <v>10</v>
      </c>
      <c r="AD255">
        <v>210</v>
      </c>
      <c r="AE255">
        <v>14</v>
      </c>
      <c r="AF255">
        <v>0</v>
      </c>
      <c r="AG255">
        <v>2</v>
      </c>
      <c r="AH255">
        <v>10</v>
      </c>
      <c r="AI255">
        <v>0</v>
      </c>
      <c r="AJ255">
        <v>0</v>
      </c>
      <c r="AK255">
        <v>0</v>
      </c>
      <c r="AL255">
        <v>2</v>
      </c>
      <c r="AM255">
        <v>0</v>
      </c>
      <c r="AN255">
        <v>0</v>
      </c>
      <c r="AO255">
        <v>0</v>
      </c>
      <c r="AP255">
        <v>14</v>
      </c>
      <c r="AQ255">
        <v>1</v>
      </c>
      <c r="AR255">
        <v>1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1</v>
      </c>
      <c r="BC255">
        <v>30</v>
      </c>
      <c r="BD255">
        <v>17</v>
      </c>
      <c r="BE255">
        <v>4</v>
      </c>
      <c r="BF255">
        <v>0</v>
      </c>
      <c r="BG255">
        <v>1</v>
      </c>
      <c r="BH255">
        <v>0</v>
      </c>
      <c r="BI255">
        <v>3</v>
      </c>
      <c r="BJ255">
        <v>1</v>
      </c>
      <c r="BK255">
        <v>1</v>
      </c>
      <c r="BL255">
        <v>0</v>
      </c>
      <c r="BM255">
        <v>3</v>
      </c>
      <c r="BN255">
        <v>30</v>
      </c>
      <c r="BO255">
        <v>80</v>
      </c>
      <c r="BP255">
        <v>65</v>
      </c>
      <c r="BQ255">
        <v>1</v>
      </c>
      <c r="BR255">
        <v>8</v>
      </c>
      <c r="BS255">
        <v>1</v>
      </c>
      <c r="BT255">
        <v>0</v>
      </c>
      <c r="BU255">
        <v>0</v>
      </c>
      <c r="BV255">
        <v>0</v>
      </c>
      <c r="BW255">
        <v>1</v>
      </c>
      <c r="BX255">
        <v>0</v>
      </c>
      <c r="BY255">
        <v>4</v>
      </c>
      <c r="BZ255">
        <v>80</v>
      </c>
      <c r="CA255">
        <v>6</v>
      </c>
      <c r="CB255">
        <v>1</v>
      </c>
      <c r="CC255">
        <v>1</v>
      </c>
      <c r="CD255">
        <v>3</v>
      </c>
      <c r="CE255">
        <v>0</v>
      </c>
      <c r="CF255">
        <v>1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6</v>
      </c>
      <c r="CM255">
        <v>5</v>
      </c>
      <c r="CN255">
        <v>4</v>
      </c>
      <c r="CO255">
        <v>1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5</v>
      </c>
      <c r="CY255">
        <v>18</v>
      </c>
      <c r="CZ255">
        <v>11</v>
      </c>
      <c r="DA255">
        <v>2</v>
      </c>
      <c r="DB255">
        <v>0</v>
      </c>
      <c r="DC255">
        <v>0</v>
      </c>
      <c r="DD255">
        <v>0</v>
      </c>
      <c r="DE255">
        <v>1</v>
      </c>
      <c r="DF255">
        <v>3</v>
      </c>
      <c r="DG255">
        <v>1</v>
      </c>
      <c r="DH255">
        <v>0</v>
      </c>
      <c r="DI255">
        <v>0</v>
      </c>
      <c r="DJ255">
        <v>18</v>
      </c>
      <c r="DK255">
        <v>37</v>
      </c>
      <c r="DL255">
        <v>30</v>
      </c>
      <c r="DM255">
        <v>6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1</v>
      </c>
      <c r="DT255">
        <v>0</v>
      </c>
      <c r="DU255">
        <v>0</v>
      </c>
      <c r="DV255">
        <v>37</v>
      </c>
      <c r="DW255">
        <v>16</v>
      </c>
      <c r="DX255">
        <v>3</v>
      </c>
      <c r="DY255">
        <v>10</v>
      </c>
      <c r="DZ255">
        <v>0</v>
      </c>
      <c r="EA255">
        <v>1</v>
      </c>
      <c r="EB255">
        <v>0</v>
      </c>
      <c r="EC255">
        <v>0</v>
      </c>
      <c r="ED255">
        <v>0</v>
      </c>
      <c r="EE255">
        <v>2</v>
      </c>
      <c r="EF255">
        <v>0</v>
      </c>
      <c r="EG255">
        <v>0</v>
      </c>
      <c r="EH255">
        <v>16</v>
      </c>
      <c r="EI255">
        <v>1</v>
      </c>
      <c r="EJ255">
        <v>1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1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2</v>
      </c>
      <c r="FF255">
        <v>0</v>
      </c>
      <c r="FG255">
        <v>0</v>
      </c>
      <c r="FH255">
        <v>0</v>
      </c>
      <c r="FI255">
        <v>0</v>
      </c>
      <c r="FJ255">
        <v>1</v>
      </c>
      <c r="FK255">
        <v>0</v>
      </c>
      <c r="FL255">
        <v>1</v>
      </c>
      <c r="FM255">
        <v>0</v>
      </c>
      <c r="FN255">
        <v>0</v>
      </c>
      <c r="FO255">
        <v>0</v>
      </c>
      <c r="FP255">
        <v>2</v>
      </c>
    </row>
    <row r="256" spans="1:172" ht="14.25">
      <c r="A256">
        <v>251</v>
      </c>
      <c r="B256" t="str">
        <f t="shared" si="46"/>
        <v>101203</v>
      </c>
      <c r="C256" t="str">
        <f t="shared" si="47"/>
        <v>Gidle</v>
      </c>
      <c r="D256" t="str">
        <f t="shared" si="45"/>
        <v>radomszczański</v>
      </c>
      <c r="E256" t="str">
        <f t="shared" si="35"/>
        <v>łódzkie</v>
      </c>
      <c r="F256">
        <v>4</v>
      </c>
      <c r="G256" t="str">
        <f>"Świetlica Wiejska, Plac Wolności 17a, Pławno, 97-540 Gidle"</f>
        <v>Świetlica Wiejska, Plac Wolności 17a, Pławno, 97-540 Gidle</v>
      </c>
      <c r="H256">
        <v>857</v>
      </c>
      <c r="I256">
        <v>857</v>
      </c>
      <c r="J256">
        <v>0</v>
      </c>
      <c r="K256">
        <v>600</v>
      </c>
      <c r="L256">
        <v>473</v>
      </c>
      <c r="M256">
        <v>127</v>
      </c>
      <c r="N256">
        <v>127</v>
      </c>
      <c r="O256">
        <v>0</v>
      </c>
      <c r="P256">
        <v>0</v>
      </c>
      <c r="Q256">
        <v>3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127</v>
      </c>
      <c r="Z256">
        <v>0</v>
      </c>
      <c r="AA256">
        <v>0</v>
      </c>
      <c r="AB256">
        <v>127</v>
      </c>
      <c r="AC256">
        <v>1</v>
      </c>
      <c r="AD256">
        <v>126</v>
      </c>
      <c r="AE256">
        <v>7</v>
      </c>
      <c r="AF256">
        <v>2</v>
      </c>
      <c r="AG256">
        <v>2</v>
      </c>
      <c r="AH256">
        <v>1</v>
      </c>
      <c r="AI256">
        <v>0</v>
      </c>
      <c r="AJ256">
        <v>2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7</v>
      </c>
      <c r="AQ256">
        <v>4</v>
      </c>
      <c r="AR256">
        <v>0</v>
      </c>
      <c r="AS256">
        <v>0</v>
      </c>
      <c r="AT256">
        <v>1</v>
      </c>
      <c r="AU256">
        <v>0</v>
      </c>
      <c r="AV256">
        <v>0</v>
      </c>
      <c r="AW256">
        <v>0</v>
      </c>
      <c r="AX256">
        <v>0</v>
      </c>
      <c r="AY256">
        <v>2</v>
      </c>
      <c r="AZ256">
        <v>1</v>
      </c>
      <c r="BA256">
        <v>0</v>
      </c>
      <c r="BB256">
        <v>4</v>
      </c>
      <c r="BC256">
        <v>6</v>
      </c>
      <c r="BD256">
        <v>2</v>
      </c>
      <c r="BE256">
        <v>1</v>
      </c>
      <c r="BF256">
        <v>1</v>
      </c>
      <c r="BG256">
        <v>0</v>
      </c>
      <c r="BH256">
        <v>1</v>
      </c>
      <c r="BI256">
        <v>1</v>
      </c>
      <c r="BJ256">
        <v>0</v>
      </c>
      <c r="BK256">
        <v>0</v>
      </c>
      <c r="BL256">
        <v>0</v>
      </c>
      <c r="BM256">
        <v>0</v>
      </c>
      <c r="BN256">
        <v>6</v>
      </c>
      <c r="BO256">
        <v>62</v>
      </c>
      <c r="BP256">
        <v>56</v>
      </c>
      <c r="BQ256">
        <v>0</v>
      </c>
      <c r="BR256">
        <v>0</v>
      </c>
      <c r="BS256">
        <v>3</v>
      </c>
      <c r="BT256">
        <v>0</v>
      </c>
      <c r="BU256">
        <v>0</v>
      </c>
      <c r="BV256">
        <v>1</v>
      </c>
      <c r="BW256">
        <v>1</v>
      </c>
      <c r="BX256">
        <v>0</v>
      </c>
      <c r="BY256">
        <v>1</v>
      </c>
      <c r="BZ256">
        <v>62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2</v>
      </c>
      <c r="CN256">
        <v>2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2</v>
      </c>
      <c r="CY256">
        <v>16</v>
      </c>
      <c r="CZ256">
        <v>8</v>
      </c>
      <c r="DA256">
        <v>3</v>
      </c>
      <c r="DB256">
        <v>0</v>
      </c>
      <c r="DC256">
        <v>1</v>
      </c>
      <c r="DD256">
        <v>1</v>
      </c>
      <c r="DE256">
        <v>0</v>
      </c>
      <c r="DF256">
        <v>0</v>
      </c>
      <c r="DG256">
        <v>1</v>
      </c>
      <c r="DH256">
        <v>2</v>
      </c>
      <c r="DI256">
        <v>0</v>
      </c>
      <c r="DJ256">
        <v>16</v>
      </c>
      <c r="DK256">
        <v>14</v>
      </c>
      <c r="DL256">
        <v>5</v>
      </c>
      <c r="DM256">
        <v>7</v>
      </c>
      <c r="DN256">
        <v>0</v>
      </c>
      <c r="DO256">
        <v>1</v>
      </c>
      <c r="DP256">
        <v>0</v>
      </c>
      <c r="DQ256">
        <v>0</v>
      </c>
      <c r="DR256">
        <v>1</v>
      </c>
      <c r="DS256">
        <v>0</v>
      </c>
      <c r="DT256">
        <v>0</v>
      </c>
      <c r="DU256">
        <v>0</v>
      </c>
      <c r="DV256">
        <v>14</v>
      </c>
      <c r="DW256">
        <v>13</v>
      </c>
      <c r="DX256">
        <v>4</v>
      </c>
      <c r="DY256">
        <v>3</v>
      </c>
      <c r="DZ256">
        <v>2</v>
      </c>
      <c r="EA256">
        <v>0</v>
      </c>
      <c r="EB256">
        <v>0</v>
      </c>
      <c r="EC256">
        <v>0</v>
      </c>
      <c r="ED256">
        <v>0</v>
      </c>
      <c r="EE256">
        <v>1</v>
      </c>
      <c r="EF256">
        <v>1</v>
      </c>
      <c r="EG256">
        <v>2</v>
      </c>
      <c r="EH256">
        <v>13</v>
      </c>
      <c r="EI256">
        <v>1</v>
      </c>
      <c r="EJ256">
        <v>0</v>
      </c>
      <c r="EK256">
        <v>1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1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1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1</v>
      </c>
      <c r="FP256">
        <v>1</v>
      </c>
    </row>
    <row r="257" spans="1:172" ht="14.25">
      <c r="A257">
        <v>252</v>
      </c>
      <c r="B257" t="str">
        <f t="shared" si="46"/>
        <v>101203</v>
      </c>
      <c r="C257" t="str">
        <f t="shared" si="47"/>
        <v>Gidle</v>
      </c>
      <c r="D257" t="str">
        <f t="shared" si="45"/>
        <v>radomszczański</v>
      </c>
      <c r="E257" t="str">
        <f t="shared" si="35"/>
        <v>łódzkie</v>
      </c>
      <c r="F257">
        <v>5</v>
      </c>
      <c r="G257" t="str">
        <f>"Publiczna Szkoła Podstawowa, ul. Szkolna 7, 97-540 Gidle"</f>
        <v>Publiczna Szkoła Podstawowa, ul. Szkolna 7, 97-540 Gidle</v>
      </c>
      <c r="H257">
        <v>1129</v>
      </c>
      <c r="I257">
        <v>1129</v>
      </c>
      <c r="J257">
        <v>0</v>
      </c>
      <c r="K257">
        <v>790</v>
      </c>
      <c r="L257">
        <v>680</v>
      </c>
      <c r="M257">
        <v>110</v>
      </c>
      <c r="N257">
        <v>110</v>
      </c>
      <c r="O257">
        <v>0</v>
      </c>
      <c r="P257">
        <v>0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110</v>
      </c>
      <c r="Z257">
        <v>0</v>
      </c>
      <c r="AA257">
        <v>0</v>
      </c>
      <c r="AB257">
        <v>110</v>
      </c>
      <c r="AC257">
        <v>3</v>
      </c>
      <c r="AD257">
        <v>107</v>
      </c>
      <c r="AE257">
        <v>5</v>
      </c>
      <c r="AF257">
        <v>3</v>
      </c>
      <c r="AG257">
        <v>0</v>
      </c>
      <c r="AH257">
        <v>1</v>
      </c>
      <c r="AI257">
        <v>0</v>
      </c>
      <c r="AJ257">
        <v>0</v>
      </c>
      <c r="AK257">
        <v>1</v>
      </c>
      <c r="AL257">
        <v>0</v>
      </c>
      <c r="AM257">
        <v>0</v>
      </c>
      <c r="AN257">
        <v>0</v>
      </c>
      <c r="AO257">
        <v>0</v>
      </c>
      <c r="AP257">
        <v>5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8</v>
      </c>
      <c r="BD257">
        <v>3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4</v>
      </c>
      <c r="BK257">
        <v>1</v>
      </c>
      <c r="BL257">
        <v>0</v>
      </c>
      <c r="BM257">
        <v>0</v>
      </c>
      <c r="BN257">
        <v>8</v>
      </c>
      <c r="BO257">
        <v>56</v>
      </c>
      <c r="BP257">
        <v>47</v>
      </c>
      <c r="BQ257">
        <v>1</v>
      </c>
      <c r="BR257">
        <v>1</v>
      </c>
      <c r="BS257">
        <v>0</v>
      </c>
      <c r="BT257">
        <v>0</v>
      </c>
      <c r="BU257">
        <v>3</v>
      </c>
      <c r="BV257">
        <v>1</v>
      </c>
      <c r="BW257">
        <v>0</v>
      </c>
      <c r="BX257">
        <v>1</v>
      </c>
      <c r="BY257">
        <v>2</v>
      </c>
      <c r="BZ257">
        <v>56</v>
      </c>
      <c r="CA257">
        <v>2</v>
      </c>
      <c r="CB257">
        <v>1</v>
      </c>
      <c r="CC257">
        <v>1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2</v>
      </c>
      <c r="CM257">
        <v>2</v>
      </c>
      <c r="CN257">
        <v>1</v>
      </c>
      <c r="CO257">
        <v>0</v>
      </c>
      <c r="CP257">
        <v>0</v>
      </c>
      <c r="CQ257">
        <v>1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2</v>
      </c>
      <c r="CY257">
        <v>6</v>
      </c>
      <c r="CZ257">
        <v>2</v>
      </c>
      <c r="DA257">
        <v>1</v>
      </c>
      <c r="DB257">
        <v>0</v>
      </c>
      <c r="DC257">
        <v>1</v>
      </c>
      <c r="DD257">
        <v>0</v>
      </c>
      <c r="DE257">
        <v>0</v>
      </c>
      <c r="DF257">
        <v>0</v>
      </c>
      <c r="DG257">
        <v>1</v>
      </c>
      <c r="DH257">
        <v>1</v>
      </c>
      <c r="DI257">
        <v>0</v>
      </c>
      <c r="DJ257">
        <v>6</v>
      </c>
      <c r="DK257">
        <v>18</v>
      </c>
      <c r="DL257">
        <v>9</v>
      </c>
      <c r="DM257">
        <v>5</v>
      </c>
      <c r="DN257">
        <v>1</v>
      </c>
      <c r="DO257">
        <v>0</v>
      </c>
      <c r="DP257">
        <v>2</v>
      </c>
      <c r="DQ257">
        <v>0</v>
      </c>
      <c r="DR257">
        <v>1</v>
      </c>
      <c r="DS257">
        <v>0</v>
      </c>
      <c r="DT257">
        <v>0</v>
      </c>
      <c r="DU257">
        <v>0</v>
      </c>
      <c r="DV257">
        <v>18</v>
      </c>
      <c r="DW257">
        <v>9</v>
      </c>
      <c r="DX257">
        <v>1</v>
      </c>
      <c r="DY257">
        <v>8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9</v>
      </c>
      <c r="EI257">
        <v>1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1</v>
      </c>
      <c r="ER257">
        <v>1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</row>
    <row r="258" spans="1:172" ht="14.25">
      <c r="A258">
        <v>253</v>
      </c>
      <c r="B258" t="str">
        <f t="shared" si="46"/>
        <v>101203</v>
      </c>
      <c r="C258" t="str">
        <f t="shared" si="47"/>
        <v>Gidle</v>
      </c>
      <c r="D258" t="str">
        <f aca="true" t="shared" si="48" ref="D258:D289">"radomszczański"</f>
        <v>radomszczański</v>
      </c>
      <c r="E258" t="str">
        <f t="shared" si="35"/>
        <v>łódzkie</v>
      </c>
      <c r="F258">
        <v>6</v>
      </c>
      <c r="G258" t="str">
        <f>"Zespół Szkolno-Gimnazjalny, Przedborska 4, Pławno, 97-540 Gidle"</f>
        <v>Zespół Szkolno-Gimnazjalny, Przedborska 4, Pławno, 97-540 Gidle</v>
      </c>
      <c r="H258">
        <v>830</v>
      </c>
      <c r="I258">
        <v>830</v>
      </c>
      <c r="J258">
        <v>0</v>
      </c>
      <c r="K258">
        <v>590</v>
      </c>
      <c r="L258">
        <v>444</v>
      </c>
      <c r="M258">
        <v>146</v>
      </c>
      <c r="N258">
        <v>146</v>
      </c>
      <c r="O258">
        <v>0</v>
      </c>
      <c r="P258">
        <v>0</v>
      </c>
      <c r="Q258">
        <v>2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146</v>
      </c>
      <c r="Z258">
        <v>0</v>
      </c>
      <c r="AA258">
        <v>0</v>
      </c>
      <c r="AB258">
        <v>146</v>
      </c>
      <c r="AC258">
        <v>5</v>
      </c>
      <c r="AD258">
        <v>141</v>
      </c>
      <c r="AE258">
        <v>2</v>
      </c>
      <c r="AF258">
        <v>0</v>
      </c>
      <c r="AG258">
        <v>2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2</v>
      </c>
      <c r="AQ258">
        <v>3</v>
      </c>
      <c r="AR258">
        <v>0</v>
      </c>
      <c r="AS258">
        <v>0</v>
      </c>
      <c r="AT258">
        <v>0</v>
      </c>
      <c r="AU258">
        <v>1</v>
      </c>
      <c r="AV258">
        <v>0</v>
      </c>
      <c r="AW258">
        <v>0</v>
      </c>
      <c r="AX258">
        <v>0</v>
      </c>
      <c r="AY258">
        <v>0</v>
      </c>
      <c r="AZ258">
        <v>2</v>
      </c>
      <c r="BA258">
        <v>0</v>
      </c>
      <c r="BB258">
        <v>3</v>
      </c>
      <c r="BC258">
        <v>11</v>
      </c>
      <c r="BD258">
        <v>7</v>
      </c>
      <c r="BE258">
        <v>0</v>
      </c>
      <c r="BF258">
        <v>0</v>
      </c>
      <c r="BG258">
        <v>0</v>
      </c>
      <c r="BH258">
        <v>0</v>
      </c>
      <c r="BI258">
        <v>1</v>
      </c>
      <c r="BJ258">
        <v>1</v>
      </c>
      <c r="BK258">
        <v>1</v>
      </c>
      <c r="BL258">
        <v>0</v>
      </c>
      <c r="BM258">
        <v>1</v>
      </c>
      <c r="BN258">
        <v>11</v>
      </c>
      <c r="BO258">
        <v>37</v>
      </c>
      <c r="BP258">
        <v>31</v>
      </c>
      <c r="BQ258">
        <v>1</v>
      </c>
      <c r="BR258">
        <v>1</v>
      </c>
      <c r="BS258">
        <v>1</v>
      </c>
      <c r="BT258">
        <v>0</v>
      </c>
      <c r="BU258">
        <v>2</v>
      </c>
      <c r="BV258">
        <v>1</v>
      </c>
      <c r="BW258">
        <v>0</v>
      </c>
      <c r="BX258">
        <v>0</v>
      </c>
      <c r="BY258">
        <v>0</v>
      </c>
      <c r="BZ258">
        <v>37</v>
      </c>
      <c r="CA258">
        <v>1</v>
      </c>
      <c r="CB258">
        <v>0</v>
      </c>
      <c r="CC258">
        <v>0</v>
      </c>
      <c r="CD258">
        <v>1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1</v>
      </c>
      <c r="CM258">
        <v>3</v>
      </c>
      <c r="CN258">
        <v>1</v>
      </c>
      <c r="CO258">
        <v>1</v>
      </c>
      <c r="CP258">
        <v>1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3</v>
      </c>
      <c r="CY258">
        <v>21</v>
      </c>
      <c r="CZ258">
        <v>17</v>
      </c>
      <c r="DA258">
        <v>0</v>
      </c>
      <c r="DB258">
        <v>0</v>
      </c>
      <c r="DC258">
        <v>1</v>
      </c>
      <c r="DD258">
        <v>0</v>
      </c>
      <c r="DE258">
        <v>1</v>
      </c>
      <c r="DF258">
        <v>1</v>
      </c>
      <c r="DG258">
        <v>0</v>
      </c>
      <c r="DH258">
        <v>1</v>
      </c>
      <c r="DI258">
        <v>0</v>
      </c>
      <c r="DJ258">
        <v>21</v>
      </c>
      <c r="DK258">
        <v>54</v>
      </c>
      <c r="DL258">
        <v>35</v>
      </c>
      <c r="DM258">
        <v>15</v>
      </c>
      <c r="DN258">
        <v>0</v>
      </c>
      <c r="DO258">
        <v>0</v>
      </c>
      <c r="DP258">
        <v>4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54</v>
      </c>
      <c r="DW258">
        <v>6</v>
      </c>
      <c r="DX258">
        <v>0</v>
      </c>
      <c r="DY258">
        <v>4</v>
      </c>
      <c r="DZ258">
        <v>0</v>
      </c>
      <c r="EA258">
        <v>1</v>
      </c>
      <c r="EB258">
        <v>0</v>
      </c>
      <c r="EC258">
        <v>0</v>
      </c>
      <c r="ED258">
        <v>0</v>
      </c>
      <c r="EE258">
        <v>1</v>
      </c>
      <c r="EF258">
        <v>0</v>
      </c>
      <c r="EG258">
        <v>0</v>
      </c>
      <c r="EH258">
        <v>6</v>
      </c>
      <c r="EI258">
        <v>1</v>
      </c>
      <c r="EJ258">
        <v>0</v>
      </c>
      <c r="EK258">
        <v>1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1</v>
      </c>
      <c r="ES258">
        <v>2</v>
      </c>
      <c r="ET258">
        <v>1</v>
      </c>
      <c r="EU258">
        <v>1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2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</row>
    <row r="259" spans="1:172" ht="14.25">
      <c r="A259">
        <v>254</v>
      </c>
      <c r="B259" t="str">
        <f>"101204"</f>
        <v>101204</v>
      </c>
      <c r="C259" t="str">
        <f>"Gomunice"</f>
        <v>Gomunice</v>
      </c>
      <c r="D259" t="str">
        <f t="shared" si="48"/>
        <v>radomszczański</v>
      </c>
      <c r="E259" t="str">
        <f t="shared" si="35"/>
        <v>łódzkie</v>
      </c>
      <c r="F259">
        <v>1</v>
      </c>
      <c r="G259" t="str">
        <f>"Zespół Szkolno-Przedszkolny w Gomunicach, ul. Słowackiego 12, 97-545 Gomunice"</f>
        <v>Zespół Szkolno-Przedszkolny w Gomunicach, ul. Słowackiego 12, 97-545 Gomunice</v>
      </c>
      <c r="H259">
        <v>1270</v>
      </c>
      <c r="I259">
        <v>1270</v>
      </c>
      <c r="J259">
        <v>0</v>
      </c>
      <c r="K259">
        <v>890</v>
      </c>
      <c r="L259">
        <v>622</v>
      </c>
      <c r="M259">
        <v>268</v>
      </c>
      <c r="N259">
        <v>268</v>
      </c>
      <c r="O259">
        <v>0</v>
      </c>
      <c r="P259">
        <v>0</v>
      </c>
      <c r="Q259">
        <v>2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268</v>
      </c>
      <c r="Z259">
        <v>0</v>
      </c>
      <c r="AA259">
        <v>0</v>
      </c>
      <c r="AB259">
        <v>268</v>
      </c>
      <c r="AC259">
        <v>16</v>
      </c>
      <c r="AD259">
        <v>252</v>
      </c>
      <c r="AE259">
        <v>15</v>
      </c>
      <c r="AF259">
        <v>2</v>
      </c>
      <c r="AG259">
        <v>1</v>
      </c>
      <c r="AH259">
        <v>11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1</v>
      </c>
      <c r="AP259">
        <v>15</v>
      </c>
      <c r="AQ259">
        <v>1</v>
      </c>
      <c r="AR259">
        <v>1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1</v>
      </c>
      <c r="BC259">
        <v>19</v>
      </c>
      <c r="BD259">
        <v>8</v>
      </c>
      <c r="BE259">
        <v>4</v>
      </c>
      <c r="BF259">
        <v>0</v>
      </c>
      <c r="BG259">
        <v>0</v>
      </c>
      <c r="BH259">
        <v>0</v>
      </c>
      <c r="BI259">
        <v>0</v>
      </c>
      <c r="BJ259">
        <v>6</v>
      </c>
      <c r="BK259">
        <v>0</v>
      </c>
      <c r="BL259">
        <v>0</v>
      </c>
      <c r="BM259">
        <v>1</v>
      </c>
      <c r="BN259">
        <v>19</v>
      </c>
      <c r="BO259">
        <v>138</v>
      </c>
      <c r="BP259">
        <v>125</v>
      </c>
      <c r="BQ259">
        <v>3</v>
      </c>
      <c r="BR259">
        <v>1</v>
      </c>
      <c r="BS259">
        <v>4</v>
      </c>
      <c r="BT259">
        <v>0</v>
      </c>
      <c r="BU259">
        <v>0</v>
      </c>
      <c r="BV259">
        <v>1</v>
      </c>
      <c r="BW259">
        <v>0</v>
      </c>
      <c r="BX259">
        <v>2</v>
      </c>
      <c r="BY259">
        <v>2</v>
      </c>
      <c r="BZ259">
        <v>138</v>
      </c>
      <c r="CA259">
        <v>3</v>
      </c>
      <c r="CB259">
        <v>3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3</v>
      </c>
      <c r="CM259">
        <v>2</v>
      </c>
      <c r="CN259">
        <v>2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2</v>
      </c>
      <c r="CY259">
        <v>11</v>
      </c>
      <c r="CZ259">
        <v>7</v>
      </c>
      <c r="DA259">
        <v>1</v>
      </c>
      <c r="DB259">
        <v>1</v>
      </c>
      <c r="DC259">
        <v>0</v>
      </c>
      <c r="DD259">
        <v>0</v>
      </c>
      <c r="DE259">
        <v>0</v>
      </c>
      <c r="DF259">
        <v>0</v>
      </c>
      <c r="DG259">
        <v>1</v>
      </c>
      <c r="DH259">
        <v>1</v>
      </c>
      <c r="DI259">
        <v>0</v>
      </c>
      <c r="DJ259">
        <v>11</v>
      </c>
      <c r="DK259">
        <v>39</v>
      </c>
      <c r="DL259">
        <v>26</v>
      </c>
      <c r="DM259">
        <v>11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2</v>
      </c>
      <c r="DU259">
        <v>0</v>
      </c>
      <c r="DV259">
        <v>39</v>
      </c>
      <c r="DW259">
        <v>19</v>
      </c>
      <c r="DX259">
        <v>1</v>
      </c>
      <c r="DY259">
        <v>13</v>
      </c>
      <c r="DZ259">
        <v>0</v>
      </c>
      <c r="EA259">
        <v>0</v>
      </c>
      <c r="EB259">
        <v>2</v>
      </c>
      <c r="EC259">
        <v>1</v>
      </c>
      <c r="ED259">
        <v>0</v>
      </c>
      <c r="EE259">
        <v>0</v>
      </c>
      <c r="EF259">
        <v>2</v>
      </c>
      <c r="EG259">
        <v>0</v>
      </c>
      <c r="EH259">
        <v>19</v>
      </c>
      <c r="EI259">
        <v>3</v>
      </c>
      <c r="EJ259">
        <v>0</v>
      </c>
      <c r="EK259">
        <v>3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3</v>
      </c>
      <c r="ES259">
        <v>2</v>
      </c>
      <c r="ET259">
        <v>2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2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</row>
    <row r="260" spans="1:172" ht="14.25">
      <c r="A260">
        <v>255</v>
      </c>
      <c r="B260" t="str">
        <f>"101204"</f>
        <v>101204</v>
      </c>
      <c r="C260" t="str">
        <f>"Gomunice"</f>
        <v>Gomunice</v>
      </c>
      <c r="D260" t="str">
        <f t="shared" si="48"/>
        <v>radomszczański</v>
      </c>
      <c r="E260" t="str">
        <f t="shared" si="35"/>
        <v>łódzkie</v>
      </c>
      <c r="F260">
        <v>2</v>
      </c>
      <c r="G260" t="str">
        <f>"Urząd Gminy, ul. Armii Krajowej 30, 97-545 Gomunice"</f>
        <v>Urząd Gminy, ul. Armii Krajowej 30, 97-545 Gomunice</v>
      </c>
      <c r="H260">
        <v>1063</v>
      </c>
      <c r="I260">
        <v>1063</v>
      </c>
      <c r="J260">
        <v>0</v>
      </c>
      <c r="K260">
        <v>750</v>
      </c>
      <c r="L260">
        <v>460</v>
      </c>
      <c r="M260">
        <v>290</v>
      </c>
      <c r="N260">
        <v>290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290</v>
      </c>
      <c r="Z260">
        <v>0</v>
      </c>
      <c r="AA260">
        <v>0</v>
      </c>
      <c r="AB260">
        <v>290</v>
      </c>
      <c r="AC260">
        <v>13</v>
      </c>
      <c r="AD260">
        <v>277</v>
      </c>
      <c r="AE260">
        <v>27</v>
      </c>
      <c r="AF260">
        <v>6</v>
      </c>
      <c r="AG260">
        <v>0</v>
      </c>
      <c r="AH260">
        <v>20</v>
      </c>
      <c r="AI260">
        <v>1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27</v>
      </c>
      <c r="AQ260">
        <v>1</v>
      </c>
      <c r="AR260">
        <v>0</v>
      </c>
      <c r="AS260">
        <v>0</v>
      </c>
      <c r="AT260">
        <v>1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1</v>
      </c>
      <c r="BC260">
        <v>14</v>
      </c>
      <c r="BD260">
        <v>6</v>
      </c>
      <c r="BE260">
        <v>2</v>
      </c>
      <c r="BF260">
        <v>0</v>
      </c>
      <c r="BG260">
        <v>1</v>
      </c>
      <c r="BH260">
        <v>0</v>
      </c>
      <c r="BI260">
        <v>2</v>
      </c>
      <c r="BJ260">
        <v>2</v>
      </c>
      <c r="BK260">
        <v>0</v>
      </c>
      <c r="BL260">
        <v>0</v>
      </c>
      <c r="BM260">
        <v>1</v>
      </c>
      <c r="BN260">
        <v>14</v>
      </c>
      <c r="BO260">
        <v>131</v>
      </c>
      <c r="BP260">
        <v>121</v>
      </c>
      <c r="BQ260">
        <v>4</v>
      </c>
      <c r="BR260">
        <v>3</v>
      </c>
      <c r="BS260">
        <v>0</v>
      </c>
      <c r="BT260">
        <v>1</v>
      </c>
      <c r="BU260">
        <v>0</v>
      </c>
      <c r="BV260">
        <v>0</v>
      </c>
      <c r="BW260">
        <v>1</v>
      </c>
      <c r="BX260">
        <v>0</v>
      </c>
      <c r="BY260">
        <v>1</v>
      </c>
      <c r="BZ260">
        <v>131</v>
      </c>
      <c r="CA260">
        <v>12</v>
      </c>
      <c r="CB260">
        <v>6</v>
      </c>
      <c r="CC260">
        <v>2</v>
      </c>
      <c r="CD260">
        <v>3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1</v>
      </c>
      <c r="CK260">
        <v>0</v>
      </c>
      <c r="CL260">
        <v>12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19</v>
      </c>
      <c r="CZ260">
        <v>11</v>
      </c>
      <c r="DA260">
        <v>0</v>
      </c>
      <c r="DB260">
        <v>0</v>
      </c>
      <c r="DC260">
        <v>1</v>
      </c>
      <c r="DD260">
        <v>0</v>
      </c>
      <c r="DE260">
        <v>0</v>
      </c>
      <c r="DF260">
        <v>2</v>
      </c>
      <c r="DG260">
        <v>0</v>
      </c>
      <c r="DH260">
        <v>2</v>
      </c>
      <c r="DI260">
        <v>3</v>
      </c>
      <c r="DJ260">
        <v>19</v>
      </c>
      <c r="DK260">
        <v>35</v>
      </c>
      <c r="DL260">
        <v>19</v>
      </c>
      <c r="DM260">
        <v>13</v>
      </c>
      <c r="DN260">
        <v>0</v>
      </c>
      <c r="DO260">
        <v>0</v>
      </c>
      <c r="DP260">
        <v>0</v>
      </c>
      <c r="DQ260">
        <v>0</v>
      </c>
      <c r="DR260">
        <v>2</v>
      </c>
      <c r="DS260">
        <v>0</v>
      </c>
      <c r="DT260">
        <v>1</v>
      </c>
      <c r="DU260">
        <v>0</v>
      </c>
      <c r="DV260">
        <v>35</v>
      </c>
      <c r="DW260">
        <v>36</v>
      </c>
      <c r="DX260">
        <v>1</v>
      </c>
      <c r="DY260">
        <v>21</v>
      </c>
      <c r="DZ260">
        <v>0</v>
      </c>
      <c r="EA260">
        <v>4</v>
      </c>
      <c r="EB260">
        <v>7</v>
      </c>
      <c r="EC260">
        <v>1</v>
      </c>
      <c r="ED260">
        <v>0</v>
      </c>
      <c r="EE260">
        <v>2</v>
      </c>
      <c r="EF260">
        <v>0</v>
      </c>
      <c r="EG260">
        <v>0</v>
      </c>
      <c r="EH260">
        <v>36</v>
      </c>
      <c r="EI260">
        <v>2</v>
      </c>
      <c r="EJ260">
        <v>0</v>
      </c>
      <c r="EK260">
        <v>2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2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</row>
    <row r="261" spans="1:172" ht="14.25">
      <c r="A261">
        <v>256</v>
      </c>
      <c r="B261" t="str">
        <f>"101204"</f>
        <v>101204</v>
      </c>
      <c r="C261" t="str">
        <f>"Gomunice"</f>
        <v>Gomunice</v>
      </c>
      <c r="D261" t="str">
        <f t="shared" si="48"/>
        <v>radomszczański</v>
      </c>
      <c r="E261" t="str">
        <f t="shared" si="35"/>
        <v>łódzkie</v>
      </c>
      <c r="F261">
        <v>3</v>
      </c>
      <c r="G261" t="str">
        <f>"Strażnica OSP, ul. Główna 33, Kletnia, 97-545 Gomunice"</f>
        <v>Strażnica OSP, ul. Główna 33, Kletnia, 97-545 Gomunice</v>
      </c>
      <c r="H261">
        <v>948</v>
      </c>
      <c r="I261">
        <v>948</v>
      </c>
      <c r="J261">
        <v>0</v>
      </c>
      <c r="K261">
        <v>670</v>
      </c>
      <c r="L261">
        <v>445</v>
      </c>
      <c r="M261">
        <v>225</v>
      </c>
      <c r="N261">
        <v>225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225</v>
      </c>
      <c r="Z261">
        <v>0</v>
      </c>
      <c r="AA261">
        <v>0</v>
      </c>
      <c r="AB261">
        <v>225</v>
      </c>
      <c r="AC261">
        <v>12</v>
      </c>
      <c r="AD261">
        <v>213</v>
      </c>
      <c r="AE261">
        <v>22</v>
      </c>
      <c r="AF261">
        <v>0</v>
      </c>
      <c r="AG261">
        <v>4</v>
      </c>
      <c r="AH261">
        <v>15</v>
      </c>
      <c r="AI261">
        <v>3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22</v>
      </c>
      <c r="AQ261">
        <v>2</v>
      </c>
      <c r="AR261">
        <v>1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1</v>
      </c>
      <c r="BA261">
        <v>0</v>
      </c>
      <c r="BB261">
        <v>2</v>
      </c>
      <c r="BC261">
        <v>18</v>
      </c>
      <c r="BD261">
        <v>7</v>
      </c>
      <c r="BE261">
        <v>2</v>
      </c>
      <c r="BF261">
        <v>0</v>
      </c>
      <c r="BG261">
        <v>1</v>
      </c>
      <c r="BH261">
        <v>0</v>
      </c>
      <c r="BI261">
        <v>2</v>
      </c>
      <c r="BJ261">
        <v>3</v>
      </c>
      <c r="BK261">
        <v>0</v>
      </c>
      <c r="BL261">
        <v>1</v>
      </c>
      <c r="BM261">
        <v>2</v>
      </c>
      <c r="BN261">
        <v>18</v>
      </c>
      <c r="BO261">
        <v>92</v>
      </c>
      <c r="BP261">
        <v>84</v>
      </c>
      <c r="BQ261">
        <v>3</v>
      </c>
      <c r="BR261">
        <v>0</v>
      </c>
      <c r="BS261">
        <v>1</v>
      </c>
      <c r="BT261">
        <v>0</v>
      </c>
      <c r="BU261">
        <v>2</v>
      </c>
      <c r="BV261">
        <v>0</v>
      </c>
      <c r="BW261">
        <v>0</v>
      </c>
      <c r="BX261">
        <v>1</v>
      </c>
      <c r="BY261">
        <v>1</v>
      </c>
      <c r="BZ261">
        <v>92</v>
      </c>
      <c r="CA261">
        <v>7</v>
      </c>
      <c r="CB261">
        <v>2</v>
      </c>
      <c r="CC261">
        <v>2</v>
      </c>
      <c r="CD261">
        <v>2</v>
      </c>
      <c r="CE261">
        <v>1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7</v>
      </c>
      <c r="CM261">
        <v>1</v>
      </c>
      <c r="CN261">
        <v>0</v>
      </c>
      <c r="CO261">
        <v>0</v>
      </c>
      <c r="CP261">
        <v>0</v>
      </c>
      <c r="CQ261">
        <v>0</v>
      </c>
      <c r="CR261">
        <v>1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1</v>
      </c>
      <c r="CY261">
        <v>6</v>
      </c>
      <c r="CZ261">
        <v>5</v>
      </c>
      <c r="DA261">
        <v>0</v>
      </c>
      <c r="DB261">
        <v>1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6</v>
      </c>
      <c r="DK261">
        <v>37</v>
      </c>
      <c r="DL261">
        <v>17</v>
      </c>
      <c r="DM261">
        <v>19</v>
      </c>
      <c r="DN261">
        <v>0</v>
      </c>
      <c r="DO261">
        <v>0</v>
      </c>
      <c r="DP261">
        <v>1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37</v>
      </c>
      <c r="DW261">
        <v>25</v>
      </c>
      <c r="DX261">
        <v>1</v>
      </c>
      <c r="DY261">
        <v>21</v>
      </c>
      <c r="DZ261">
        <v>0</v>
      </c>
      <c r="EA261">
        <v>0</v>
      </c>
      <c r="EB261">
        <v>1</v>
      </c>
      <c r="EC261">
        <v>0</v>
      </c>
      <c r="ED261">
        <v>1</v>
      </c>
      <c r="EE261">
        <v>0</v>
      </c>
      <c r="EF261">
        <v>0</v>
      </c>
      <c r="EG261">
        <v>1</v>
      </c>
      <c r="EH261">
        <v>25</v>
      </c>
      <c r="EI261">
        <v>1</v>
      </c>
      <c r="EJ261">
        <v>0</v>
      </c>
      <c r="EK261">
        <v>1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1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2</v>
      </c>
      <c r="FF261">
        <v>1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1</v>
      </c>
      <c r="FP261">
        <v>2</v>
      </c>
    </row>
    <row r="262" spans="1:172" ht="14.25">
      <c r="A262">
        <v>257</v>
      </c>
      <c r="B262" t="str">
        <f>"101204"</f>
        <v>101204</v>
      </c>
      <c r="C262" t="str">
        <f>"Gomunice"</f>
        <v>Gomunice</v>
      </c>
      <c r="D262" t="str">
        <f t="shared" si="48"/>
        <v>radomszczański</v>
      </c>
      <c r="E262" t="str">
        <f aca="true" t="shared" si="49" ref="E262:E325">"łódzkie"</f>
        <v>łódzkie</v>
      </c>
      <c r="F262">
        <v>4</v>
      </c>
      <c r="G262" t="str">
        <f>"Pasieka Zarodowa w Kocierzowach, Kocierzowy 4, 97-545 Gomunice"</f>
        <v>Pasieka Zarodowa w Kocierzowach, Kocierzowy 4, 97-545 Gomunice</v>
      </c>
      <c r="H262">
        <v>613</v>
      </c>
      <c r="I262">
        <v>613</v>
      </c>
      <c r="J262">
        <v>0</v>
      </c>
      <c r="K262">
        <v>430</v>
      </c>
      <c r="L262">
        <v>308</v>
      </c>
      <c r="M262">
        <v>122</v>
      </c>
      <c r="N262">
        <v>122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122</v>
      </c>
      <c r="Z262">
        <v>0</v>
      </c>
      <c r="AA262">
        <v>0</v>
      </c>
      <c r="AB262">
        <v>122</v>
      </c>
      <c r="AC262">
        <v>1</v>
      </c>
      <c r="AD262">
        <v>121</v>
      </c>
      <c r="AE262">
        <v>10</v>
      </c>
      <c r="AF262">
        <v>0</v>
      </c>
      <c r="AG262">
        <v>0</v>
      </c>
      <c r="AH262">
        <v>9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1</v>
      </c>
      <c r="AP262">
        <v>10</v>
      </c>
      <c r="AQ262">
        <v>3</v>
      </c>
      <c r="AR262">
        <v>2</v>
      </c>
      <c r="AS262">
        <v>0</v>
      </c>
      <c r="AT262">
        <v>0</v>
      </c>
      <c r="AU262">
        <v>1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3</v>
      </c>
      <c r="BC262">
        <v>7</v>
      </c>
      <c r="BD262">
        <v>5</v>
      </c>
      <c r="BE262">
        <v>1</v>
      </c>
      <c r="BF262">
        <v>1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7</v>
      </c>
      <c r="BO262">
        <v>63</v>
      </c>
      <c r="BP262">
        <v>56</v>
      </c>
      <c r="BQ262">
        <v>1</v>
      </c>
      <c r="BR262">
        <v>1</v>
      </c>
      <c r="BS262">
        <v>0</v>
      </c>
      <c r="BT262">
        <v>2</v>
      </c>
      <c r="BU262">
        <v>0</v>
      </c>
      <c r="BV262">
        <v>0</v>
      </c>
      <c r="BW262">
        <v>1</v>
      </c>
      <c r="BX262">
        <v>2</v>
      </c>
      <c r="BY262">
        <v>0</v>
      </c>
      <c r="BZ262">
        <v>63</v>
      </c>
      <c r="CA262">
        <v>2</v>
      </c>
      <c r="CB262">
        <v>0</v>
      </c>
      <c r="CC262">
        <v>1</v>
      </c>
      <c r="CD262">
        <v>0</v>
      </c>
      <c r="CE262">
        <v>1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2</v>
      </c>
      <c r="CM262">
        <v>1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1</v>
      </c>
      <c r="CW262">
        <v>0</v>
      </c>
      <c r="CX262">
        <v>1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16</v>
      </c>
      <c r="DL262">
        <v>3</v>
      </c>
      <c r="DM262">
        <v>12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1</v>
      </c>
      <c r="DV262">
        <v>16</v>
      </c>
      <c r="DW262">
        <v>19</v>
      </c>
      <c r="DX262">
        <v>2</v>
      </c>
      <c r="DY262">
        <v>16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1</v>
      </c>
      <c r="EF262">
        <v>0</v>
      </c>
      <c r="EG262">
        <v>0</v>
      </c>
      <c r="EH262">
        <v>19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</row>
    <row r="263" spans="1:172" ht="14.25">
      <c r="A263">
        <v>258</v>
      </c>
      <c r="B263" t="str">
        <f>"101204"</f>
        <v>101204</v>
      </c>
      <c r="C263" t="str">
        <f>"Gomunice"</f>
        <v>Gomunice</v>
      </c>
      <c r="D263" t="str">
        <f t="shared" si="48"/>
        <v>radomszczański</v>
      </c>
      <c r="E263" t="str">
        <f t="shared" si="49"/>
        <v>łódzkie</v>
      </c>
      <c r="F263">
        <v>5</v>
      </c>
      <c r="G263" t="str">
        <f>"Zespół Szkolno-Przedszkolny w Chrzanowicach, ul. Włodzimierza Łuckiego 16, Chrzanowice, 97-545 Gomunice"</f>
        <v>Zespół Szkolno-Przedszkolny w Chrzanowicach, ul. Włodzimierza Łuckiego 16, Chrzanowice, 97-545 Gomunice</v>
      </c>
      <c r="H263">
        <v>903</v>
      </c>
      <c r="I263">
        <v>903</v>
      </c>
      <c r="J263">
        <v>0</v>
      </c>
      <c r="K263">
        <v>630</v>
      </c>
      <c r="L263">
        <v>405</v>
      </c>
      <c r="M263">
        <v>225</v>
      </c>
      <c r="N263">
        <v>225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225</v>
      </c>
      <c r="Z263">
        <v>0</v>
      </c>
      <c r="AA263">
        <v>0</v>
      </c>
      <c r="AB263">
        <v>225</v>
      </c>
      <c r="AC263">
        <v>15</v>
      </c>
      <c r="AD263">
        <v>210</v>
      </c>
      <c r="AE263">
        <v>11</v>
      </c>
      <c r="AF263">
        <v>2</v>
      </c>
      <c r="AG263">
        <v>3</v>
      </c>
      <c r="AH263">
        <v>2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2</v>
      </c>
      <c r="AO263">
        <v>2</v>
      </c>
      <c r="AP263">
        <v>11</v>
      </c>
      <c r="AQ263">
        <v>4</v>
      </c>
      <c r="AR263">
        <v>1</v>
      </c>
      <c r="AS263">
        <v>0</v>
      </c>
      <c r="AT263">
        <v>3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4</v>
      </c>
      <c r="BC263">
        <v>7</v>
      </c>
      <c r="BD263">
        <v>3</v>
      </c>
      <c r="BE263">
        <v>0</v>
      </c>
      <c r="BF263">
        <v>1</v>
      </c>
      <c r="BG263">
        <v>2</v>
      </c>
      <c r="BH263">
        <v>0</v>
      </c>
      <c r="BI263">
        <v>0</v>
      </c>
      <c r="BJ263">
        <v>1</v>
      </c>
      <c r="BK263">
        <v>0</v>
      </c>
      <c r="BL263">
        <v>0</v>
      </c>
      <c r="BM263">
        <v>0</v>
      </c>
      <c r="BN263">
        <v>7</v>
      </c>
      <c r="BO263">
        <v>126</v>
      </c>
      <c r="BP263">
        <v>116</v>
      </c>
      <c r="BQ263">
        <v>2</v>
      </c>
      <c r="BR263">
        <v>2</v>
      </c>
      <c r="BS263">
        <v>3</v>
      </c>
      <c r="BT263">
        <v>0</v>
      </c>
      <c r="BU263">
        <v>2</v>
      </c>
      <c r="BV263">
        <v>0</v>
      </c>
      <c r="BW263">
        <v>1</v>
      </c>
      <c r="BX263">
        <v>0</v>
      </c>
      <c r="BY263">
        <v>0</v>
      </c>
      <c r="BZ263">
        <v>126</v>
      </c>
      <c r="CA263">
        <v>5</v>
      </c>
      <c r="CB263">
        <v>1</v>
      </c>
      <c r="CC263">
        <v>0</v>
      </c>
      <c r="CD263">
        <v>2</v>
      </c>
      <c r="CE263">
        <v>2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5</v>
      </c>
      <c r="CM263">
        <v>2</v>
      </c>
      <c r="CN263">
        <v>0</v>
      </c>
      <c r="CO263">
        <v>0</v>
      </c>
      <c r="CP263">
        <v>0</v>
      </c>
      <c r="CQ263">
        <v>1</v>
      </c>
      <c r="CR263">
        <v>0</v>
      </c>
      <c r="CS263">
        <v>0</v>
      </c>
      <c r="CT263">
        <v>0</v>
      </c>
      <c r="CU263">
        <v>0</v>
      </c>
      <c r="CV263">
        <v>1</v>
      </c>
      <c r="CW263">
        <v>0</v>
      </c>
      <c r="CX263">
        <v>2</v>
      </c>
      <c r="CY263">
        <v>6</v>
      </c>
      <c r="CZ263">
        <v>5</v>
      </c>
      <c r="DA263">
        <v>0</v>
      </c>
      <c r="DB263">
        <v>0</v>
      </c>
      <c r="DC263">
        <v>0</v>
      </c>
      <c r="DD263">
        <v>0</v>
      </c>
      <c r="DE263">
        <v>1</v>
      </c>
      <c r="DF263">
        <v>0</v>
      </c>
      <c r="DG263">
        <v>0</v>
      </c>
      <c r="DH263">
        <v>0</v>
      </c>
      <c r="DI263">
        <v>0</v>
      </c>
      <c r="DJ263">
        <v>6</v>
      </c>
      <c r="DK263">
        <v>25</v>
      </c>
      <c r="DL263">
        <v>12</v>
      </c>
      <c r="DM263">
        <v>9</v>
      </c>
      <c r="DN263">
        <v>0</v>
      </c>
      <c r="DO263">
        <v>1</v>
      </c>
      <c r="DP263">
        <v>0</v>
      </c>
      <c r="DQ263">
        <v>0</v>
      </c>
      <c r="DR263">
        <v>1</v>
      </c>
      <c r="DS263">
        <v>2</v>
      </c>
      <c r="DT263">
        <v>0</v>
      </c>
      <c r="DU263">
        <v>0</v>
      </c>
      <c r="DV263">
        <v>25</v>
      </c>
      <c r="DW263">
        <v>22</v>
      </c>
      <c r="DX263">
        <v>0</v>
      </c>
      <c r="DY263">
        <v>16</v>
      </c>
      <c r="DZ263">
        <v>0</v>
      </c>
      <c r="EA263">
        <v>0</v>
      </c>
      <c r="EB263">
        <v>1</v>
      </c>
      <c r="EC263">
        <v>2</v>
      </c>
      <c r="ED263">
        <v>0</v>
      </c>
      <c r="EE263">
        <v>2</v>
      </c>
      <c r="EF263">
        <v>1</v>
      </c>
      <c r="EG263">
        <v>0</v>
      </c>
      <c r="EH263">
        <v>22</v>
      </c>
      <c r="EI263">
        <v>2</v>
      </c>
      <c r="EJ263">
        <v>0</v>
      </c>
      <c r="EK263">
        <v>2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2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</row>
    <row r="264" spans="1:172" ht="14.25">
      <c r="A264">
        <v>259</v>
      </c>
      <c r="B264" t="str">
        <f>"101205"</f>
        <v>101205</v>
      </c>
      <c r="C264" t="str">
        <f>"Kamieńsk"</f>
        <v>Kamieńsk</v>
      </c>
      <c r="D264" t="str">
        <f t="shared" si="48"/>
        <v>radomszczański</v>
      </c>
      <c r="E264" t="str">
        <f t="shared" si="49"/>
        <v>łódzkie</v>
      </c>
      <c r="F264">
        <v>1</v>
      </c>
      <c r="G264" t="str">
        <f>"Zespół Szkół Ponadgimnazjalnych (sala gimnastyczna), ul. Szkolna 4, 97-360 Kamieńsk"</f>
        <v>Zespół Szkół Ponadgimnazjalnych (sala gimnastyczna), ul. Szkolna 4, 97-360 Kamieńsk</v>
      </c>
      <c r="H264">
        <v>1043</v>
      </c>
      <c r="I264">
        <v>1043</v>
      </c>
      <c r="J264">
        <v>0</v>
      </c>
      <c r="K264">
        <v>740</v>
      </c>
      <c r="L264">
        <v>492</v>
      </c>
      <c r="M264">
        <v>248</v>
      </c>
      <c r="N264">
        <v>248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247</v>
      </c>
      <c r="Z264">
        <v>0</v>
      </c>
      <c r="AA264">
        <v>0</v>
      </c>
      <c r="AB264">
        <v>247</v>
      </c>
      <c r="AC264">
        <v>11</v>
      </c>
      <c r="AD264">
        <v>236</v>
      </c>
      <c r="AE264">
        <v>6</v>
      </c>
      <c r="AF264">
        <v>1</v>
      </c>
      <c r="AG264">
        <v>0</v>
      </c>
      <c r="AH264">
        <v>4</v>
      </c>
      <c r="AI264">
        <v>0</v>
      </c>
      <c r="AJ264">
        <v>0</v>
      </c>
      <c r="AK264">
        <v>0</v>
      </c>
      <c r="AL264">
        <v>1</v>
      </c>
      <c r="AM264">
        <v>0</v>
      </c>
      <c r="AN264">
        <v>0</v>
      </c>
      <c r="AO264">
        <v>0</v>
      </c>
      <c r="AP264">
        <v>6</v>
      </c>
      <c r="AQ264">
        <v>10</v>
      </c>
      <c r="AR264">
        <v>7</v>
      </c>
      <c r="AS264">
        <v>1</v>
      </c>
      <c r="AT264">
        <v>1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1</v>
      </c>
      <c r="BB264">
        <v>10</v>
      </c>
      <c r="BC264">
        <v>14</v>
      </c>
      <c r="BD264">
        <v>3</v>
      </c>
      <c r="BE264">
        <v>0</v>
      </c>
      <c r="BF264">
        <v>0</v>
      </c>
      <c r="BG264">
        <v>0</v>
      </c>
      <c r="BH264">
        <v>0</v>
      </c>
      <c r="BI264">
        <v>1</v>
      </c>
      <c r="BJ264">
        <v>5</v>
      </c>
      <c r="BK264">
        <v>0</v>
      </c>
      <c r="BL264">
        <v>1</v>
      </c>
      <c r="BM264">
        <v>4</v>
      </c>
      <c r="BN264">
        <v>14</v>
      </c>
      <c r="BO264">
        <v>136</v>
      </c>
      <c r="BP264">
        <v>124</v>
      </c>
      <c r="BQ264">
        <v>5</v>
      </c>
      <c r="BR264">
        <v>2</v>
      </c>
      <c r="BS264">
        <v>0</v>
      </c>
      <c r="BT264">
        <v>0</v>
      </c>
      <c r="BU264">
        <v>2</v>
      </c>
      <c r="BV264">
        <v>0</v>
      </c>
      <c r="BW264">
        <v>2</v>
      </c>
      <c r="BX264">
        <v>0</v>
      </c>
      <c r="BY264">
        <v>1</v>
      </c>
      <c r="BZ264">
        <v>136</v>
      </c>
      <c r="CA264">
        <v>9</v>
      </c>
      <c r="CB264">
        <v>5</v>
      </c>
      <c r="CC264">
        <v>1</v>
      </c>
      <c r="CD264">
        <v>0</v>
      </c>
      <c r="CE264">
        <v>0</v>
      </c>
      <c r="CF264">
        <v>0</v>
      </c>
      <c r="CG264">
        <v>0</v>
      </c>
      <c r="CH264">
        <v>1</v>
      </c>
      <c r="CI264">
        <v>0</v>
      </c>
      <c r="CJ264">
        <v>0</v>
      </c>
      <c r="CK264">
        <v>2</v>
      </c>
      <c r="CL264">
        <v>9</v>
      </c>
      <c r="CM264">
        <v>3</v>
      </c>
      <c r="CN264">
        <v>1</v>
      </c>
      <c r="CO264">
        <v>0</v>
      </c>
      <c r="CP264">
        <v>0</v>
      </c>
      <c r="CQ264">
        <v>1</v>
      </c>
      <c r="CR264">
        <v>1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3</v>
      </c>
      <c r="CY264">
        <v>14</v>
      </c>
      <c r="CZ264">
        <v>9</v>
      </c>
      <c r="DA264">
        <v>0</v>
      </c>
      <c r="DB264">
        <v>0</v>
      </c>
      <c r="DC264">
        <v>0</v>
      </c>
      <c r="DD264">
        <v>3</v>
      </c>
      <c r="DE264">
        <v>0</v>
      </c>
      <c r="DF264">
        <v>0</v>
      </c>
      <c r="DG264">
        <v>0</v>
      </c>
      <c r="DH264">
        <v>1</v>
      </c>
      <c r="DI264">
        <v>1</v>
      </c>
      <c r="DJ264">
        <v>14</v>
      </c>
      <c r="DK264">
        <v>32</v>
      </c>
      <c r="DL264">
        <v>21</v>
      </c>
      <c r="DM264">
        <v>7</v>
      </c>
      <c r="DN264">
        <v>0</v>
      </c>
      <c r="DO264">
        <v>1</v>
      </c>
      <c r="DP264">
        <v>2</v>
      </c>
      <c r="DQ264">
        <v>0</v>
      </c>
      <c r="DR264">
        <v>1</v>
      </c>
      <c r="DS264">
        <v>0</v>
      </c>
      <c r="DT264">
        <v>0</v>
      </c>
      <c r="DU264">
        <v>0</v>
      </c>
      <c r="DV264">
        <v>32</v>
      </c>
      <c r="DW264">
        <v>10</v>
      </c>
      <c r="DX264">
        <v>1</v>
      </c>
      <c r="DY264">
        <v>7</v>
      </c>
      <c r="DZ264">
        <v>0</v>
      </c>
      <c r="EA264">
        <v>0</v>
      </c>
      <c r="EB264">
        <v>1</v>
      </c>
      <c r="EC264">
        <v>1</v>
      </c>
      <c r="ED264">
        <v>0</v>
      </c>
      <c r="EE264">
        <v>0</v>
      </c>
      <c r="EF264">
        <v>0</v>
      </c>
      <c r="EG264">
        <v>0</v>
      </c>
      <c r="EH264">
        <v>10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1</v>
      </c>
      <c r="ET264">
        <v>0</v>
      </c>
      <c r="EU264">
        <v>0</v>
      </c>
      <c r="EV264">
        <v>0</v>
      </c>
      <c r="EW264">
        <v>1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1</v>
      </c>
      <c r="FE264">
        <v>1</v>
      </c>
      <c r="FF264">
        <v>0</v>
      </c>
      <c r="FG264">
        <v>0</v>
      </c>
      <c r="FH264">
        <v>1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1</v>
      </c>
    </row>
    <row r="265" spans="1:172" ht="14.25">
      <c r="A265">
        <v>260</v>
      </c>
      <c r="B265" t="str">
        <f>"101205"</f>
        <v>101205</v>
      </c>
      <c r="C265" t="str">
        <f>"Kamieńsk"</f>
        <v>Kamieńsk</v>
      </c>
      <c r="D265" t="str">
        <f t="shared" si="48"/>
        <v>radomszczański</v>
      </c>
      <c r="E265" t="str">
        <f t="shared" si="49"/>
        <v>łódzkie</v>
      </c>
      <c r="F265">
        <v>2</v>
      </c>
      <c r="G265" t="str">
        <f>"Zespół Szkół Ponadgimnazjalnych (wejście główne), ul. Szkolna 4, 97-360 Kamieńsk"</f>
        <v>Zespół Szkół Ponadgimnazjalnych (wejście główne), ul. Szkolna 4, 97-360 Kamieńsk</v>
      </c>
      <c r="H265">
        <v>1279</v>
      </c>
      <c r="I265">
        <v>1279</v>
      </c>
      <c r="J265">
        <v>0</v>
      </c>
      <c r="K265">
        <v>900</v>
      </c>
      <c r="L265">
        <v>604</v>
      </c>
      <c r="M265">
        <v>296</v>
      </c>
      <c r="N265">
        <v>296</v>
      </c>
      <c r="O265">
        <v>0</v>
      </c>
      <c r="P265">
        <v>0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296</v>
      </c>
      <c r="Z265">
        <v>0</v>
      </c>
      <c r="AA265">
        <v>0</v>
      </c>
      <c r="AB265">
        <v>296</v>
      </c>
      <c r="AC265">
        <v>13</v>
      </c>
      <c r="AD265">
        <v>283</v>
      </c>
      <c r="AE265">
        <v>7</v>
      </c>
      <c r="AF265">
        <v>0</v>
      </c>
      <c r="AG265">
        <v>0</v>
      </c>
      <c r="AH265">
        <v>6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1</v>
      </c>
      <c r="AP265">
        <v>7</v>
      </c>
      <c r="AQ265">
        <v>18</v>
      </c>
      <c r="AR265">
        <v>15</v>
      </c>
      <c r="AS265">
        <v>1</v>
      </c>
      <c r="AT265">
        <v>1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1</v>
      </c>
      <c r="BA265">
        <v>0</v>
      </c>
      <c r="BB265">
        <v>18</v>
      </c>
      <c r="BC265">
        <v>18</v>
      </c>
      <c r="BD265">
        <v>8</v>
      </c>
      <c r="BE265">
        <v>2</v>
      </c>
      <c r="BF265">
        <v>0</v>
      </c>
      <c r="BG265">
        <v>0</v>
      </c>
      <c r="BH265">
        <v>0</v>
      </c>
      <c r="BI265">
        <v>1</v>
      </c>
      <c r="BJ265">
        <v>4</v>
      </c>
      <c r="BK265">
        <v>0</v>
      </c>
      <c r="BL265">
        <v>0</v>
      </c>
      <c r="BM265">
        <v>3</v>
      </c>
      <c r="BN265">
        <v>18</v>
      </c>
      <c r="BO265">
        <v>153</v>
      </c>
      <c r="BP265">
        <v>122</v>
      </c>
      <c r="BQ265">
        <v>12</v>
      </c>
      <c r="BR265">
        <v>6</v>
      </c>
      <c r="BS265">
        <v>2</v>
      </c>
      <c r="BT265">
        <v>2</v>
      </c>
      <c r="BU265">
        <v>2</v>
      </c>
      <c r="BV265">
        <v>0</v>
      </c>
      <c r="BW265">
        <v>0</v>
      </c>
      <c r="BX265">
        <v>6</v>
      </c>
      <c r="BY265">
        <v>1</v>
      </c>
      <c r="BZ265">
        <v>153</v>
      </c>
      <c r="CA265">
        <v>8</v>
      </c>
      <c r="CB265">
        <v>3</v>
      </c>
      <c r="CC265">
        <v>2</v>
      </c>
      <c r="CD265">
        <v>0</v>
      </c>
      <c r="CE265">
        <v>2</v>
      </c>
      <c r="CF265">
        <v>0</v>
      </c>
      <c r="CG265">
        <v>1</v>
      </c>
      <c r="CH265">
        <v>0</v>
      </c>
      <c r="CI265">
        <v>0</v>
      </c>
      <c r="CJ265">
        <v>0</v>
      </c>
      <c r="CK265">
        <v>0</v>
      </c>
      <c r="CL265">
        <v>8</v>
      </c>
      <c r="CM265">
        <v>5</v>
      </c>
      <c r="CN265">
        <v>2</v>
      </c>
      <c r="CO265">
        <v>0</v>
      </c>
      <c r="CP265">
        <v>0</v>
      </c>
      <c r="CQ265">
        <v>1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2</v>
      </c>
      <c r="CX265">
        <v>5</v>
      </c>
      <c r="CY265">
        <v>26</v>
      </c>
      <c r="CZ265">
        <v>22</v>
      </c>
      <c r="DA265">
        <v>1</v>
      </c>
      <c r="DB265">
        <v>0</v>
      </c>
      <c r="DC265">
        <v>2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1</v>
      </c>
      <c r="DJ265">
        <v>26</v>
      </c>
      <c r="DK265">
        <v>33</v>
      </c>
      <c r="DL265">
        <v>19</v>
      </c>
      <c r="DM265">
        <v>11</v>
      </c>
      <c r="DN265">
        <v>0</v>
      </c>
      <c r="DO265">
        <v>0</v>
      </c>
      <c r="DP265">
        <v>0</v>
      </c>
      <c r="DQ265">
        <v>0</v>
      </c>
      <c r="DR265">
        <v>2</v>
      </c>
      <c r="DS265">
        <v>1</v>
      </c>
      <c r="DT265">
        <v>0</v>
      </c>
      <c r="DU265">
        <v>0</v>
      </c>
      <c r="DV265">
        <v>33</v>
      </c>
      <c r="DW265">
        <v>13</v>
      </c>
      <c r="DX265">
        <v>1</v>
      </c>
      <c r="DY265">
        <v>8</v>
      </c>
      <c r="DZ265">
        <v>1</v>
      </c>
      <c r="EA265">
        <v>0</v>
      </c>
      <c r="EB265">
        <v>1</v>
      </c>
      <c r="EC265">
        <v>0</v>
      </c>
      <c r="ED265">
        <v>1</v>
      </c>
      <c r="EE265">
        <v>1</v>
      </c>
      <c r="EF265">
        <v>0</v>
      </c>
      <c r="EG265">
        <v>0</v>
      </c>
      <c r="EH265">
        <v>13</v>
      </c>
      <c r="EI265">
        <v>1</v>
      </c>
      <c r="EJ265">
        <v>0</v>
      </c>
      <c r="EK265">
        <v>1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1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1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1</v>
      </c>
      <c r="FP265">
        <v>1</v>
      </c>
    </row>
    <row r="266" spans="1:172" ht="14.25">
      <c r="A266">
        <v>261</v>
      </c>
      <c r="B266" t="str">
        <f>"101205"</f>
        <v>101205</v>
      </c>
      <c r="C266" t="str">
        <f>"Kamieńsk"</f>
        <v>Kamieńsk</v>
      </c>
      <c r="D266" t="str">
        <f t="shared" si="48"/>
        <v>radomszczański</v>
      </c>
      <c r="E266" t="str">
        <f t="shared" si="49"/>
        <v>łódzkie</v>
      </c>
      <c r="F266">
        <v>3</v>
      </c>
      <c r="G266" t="str">
        <f>"Dom Ludowy im. K.Tazbira, ul. Konopnickiej 6, 97-360 Kamieńsk"</f>
        <v>Dom Ludowy im. K.Tazbira, ul. Konopnickiej 6, 97-360 Kamieńsk</v>
      </c>
      <c r="H266">
        <v>1235</v>
      </c>
      <c r="I266">
        <v>1235</v>
      </c>
      <c r="J266">
        <v>0</v>
      </c>
      <c r="K266">
        <v>870</v>
      </c>
      <c r="L266">
        <v>705</v>
      </c>
      <c r="M266">
        <v>165</v>
      </c>
      <c r="N266">
        <v>165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165</v>
      </c>
      <c r="Z266">
        <v>0</v>
      </c>
      <c r="AA266">
        <v>0</v>
      </c>
      <c r="AB266">
        <v>165</v>
      </c>
      <c r="AC266">
        <v>5</v>
      </c>
      <c r="AD266">
        <v>160</v>
      </c>
      <c r="AE266">
        <v>6</v>
      </c>
      <c r="AF266">
        <v>3</v>
      </c>
      <c r="AG266">
        <v>1</v>
      </c>
      <c r="AH266">
        <v>0</v>
      </c>
      <c r="AI266">
        <v>0</v>
      </c>
      <c r="AJ266">
        <v>1</v>
      </c>
      <c r="AK266">
        <v>0</v>
      </c>
      <c r="AL266">
        <v>0</v>
      </c>
      <c r="AM266">
        <v>0</v>
      </c>
      <c r="AN266">
        <v>1</v>
      </c>
      <c r="AO266">
        <v>0</v>
      </c>
      <c r="AP266">
        <v>6</v>
      </c>
      <c r="AQ266">
        <v>1</v>
      </c>
      <c r="AR266">
        <v>1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1</v>
      </c>
      <c r="BC266">
        <v>3</v>
      </c>
      <c r="BD266">
        <v>1</v>
      </c>
      <c r="BE266">
        <v>0</v>
      </c>
      <c r="BF266">
        <v>0</v>
      </c>
      <c r="BG266">
        <v>1</v>
      </c>
      <c r="BH266">
        <v>0</v>
      </c>
      <c r="BI266">
        <v>1</v>
      </c>
      <c r="BJ266">
        <v>0</v>
      </c>
      <c r="BK266">
        <v>0</v>
      </c>
      <c r="BL266">
        <v>0</v>
      </c>
      <c r="BM266">
        <v>0</v>
      </c>
      <c r="BN266">
        <v>3</v>
      </c>
      <c r="BO266">
        <v>100</v>
      </c>
      <c r="BP266">
        <v>89</v>
      </c>
      <c r="BQ266">
        <v>5</v>
      </c>
      <c r="BR266">
        <v>0</v>
      </c>
      <c r="BS266">
        <v>4</v>
      </c>
      <c r="BT266">
        <v>0</v>
      </c>
      <c r="BU266">
        <v>1</v>
      </c>
      <c r="BV266">
        <v>1</v>
      </c>
      <c r="BW266">
        <v>0</v>
      </c>
      <c r="BX266">
        <v>0</v>
      </c>
      <c r="BY266">
        <v>0</v>
      </c>
      <c r="BZ266">
        <v>100</v>
      </c>
      <c r="CA266">
        <v>4</v>
      </c>
      <c r="CB266">
        <v>3</v>
      </c>
      <c r="CC266">
        <v>0</v>
      </c>
      <c r="CD266">
        <v>0</v>
      </c>
      <c r="CE266">
        <v>1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4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22</v>
      </c>
      <c r="CZ266">
        <v>13</v>
      </c>
      <c r="DA266">
        <v>3</v>
      </c>
      <c r="DB266">
        <v>0</v>
      </c>
      <c r="DC266">
        <v>1</v>
      </c>
      <c r="DD266">
        <v>0</v>
      </c>
      <c r="DE266">
        <v>0</v>
      </c>
      <c r="DF266">
        <v>0</v>
      </c>
      <c r="DG266">
        <v>0</v>
      </c>
      <c r="DH266">
        <v>4</v>
      </c>
      <c r="DI266">
        <v>1</v>
      </c>
      <c r="DJ266">
        <v>22</v>
      </c>
      <c r="DK266">
        <v>16</v>
      </c>
      <c r="DL266">
        <v>5</v>
      </c>
      <c r="DM266">
        <v>8</v>
      </c>
      <c r="DN266">
        <v>0</v>
      </c>
      <c r="DO266">
        <v>0</v>
      </c>
      <c r="DP266">
        <v>0</v>
      </c>
      <c r="DQ266">
        <v>3</v>
      </c>
      <c r="DR266">
        <v>0</v>
      </c>
      <c r="DS266">
        <v>0</v>
      </c>
      <c r="DT266">
        <v>0</v>
      </c>
      <c r="DU266">
        <v>0</v>
      </c>
      <c r="DV266">
        <v>16</v>
      </c>
      <c r="DW266">
        <v>8</v>
      </c>
      <c r="DX266">
        <v>1</v>
      </c>
      <c r="DY266">
        <v>4</v>
      </c>
      <c r="DZ266">
        <v>0</v>
      </c>
      <c r="EA266">
        <v>0</v>
      </c>
      <c r="EB266">
        <v>1</v>
      </c>
      <c r="EC266">
        <v>1</v>
      </c>
      <c r="ED266">
        <v>1</v>
      </c>
      <c r="EE266">
        <v>0</v>
      </c>
      <c r="EF266">
        <v>0</v>
      </c>
      <c r="EG266">
        <v>0</v>
      </c>
      <c r="EH266">
        <v>8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</row>
    <row r="267" spans="1:172" ht="14.25">
      <c r="A267">
        <v>262</v>
      </c>
      <c r="B267" t="str">
        <f>"101205"</f>
        <v>101205</v>
      </c>
      <c r="C267" t="str">
        <f>"Kamieńsk"</f>
        <v>Kamieńsk</v>
      </c>
      <c r="D267" t="str">
        <f t="shared" si="48"/>
        <v>radomszczański</v>
      </c>
      <c r="E267" t="str">
        <f t="shared" si="49"/>
        <v>łódzkie</v>
      </c>
      <c r="F267">
        <v>4</v>
      </c>
      <c r="G267" t="str">
        <f>"Świetlica Wiejska, Gałkowice Stare 58, 97-360 Kamieńsk"</f>
        <v>Świetlica Wiejska, Gałkowice Stare 58, 97-360 Kamieńsk</v>
      </c>
      <c r="H267">
        <v>665</v>
      </c>
      <c r="I267">
        <v>665</v>
      </c>
      <c r="J267">
        <v>0</v>
      </c>
      <c r="K267">
        <v>470</v>
      </c>
      <c r="L267">
        <v>387</v>
      </c>
      <c r="M267">
        <v>83</v>
      </c>
      <c r="N267">
        <v>83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83</v>
      </c>
      <c r="Z267">
        <v>0</v>
      </c>
      <c r="AA267">
        <v>0</v>
      </c>
      <c r="AB267">
        <v>83</v>
      </c>
      <c r="AC267">
        <v>5</v>
      </c>
      <c r="AD267">
        <v>78</v>
      </c>
      <c r="AE267">
        <v>2</v>
      </c>
      <c r="AF267">
        <v>0</v>
      </c>
      <c r="AG267">
        <v>1</v>
      </c>
      <c r="AH267">
        <v>0</v>
      </c>
      <c r="AI267">
        <v>0</v>
      </c>
      <c r="AJ267">
        <v>0</v>
      </c>
      <c r="AK267">
        <v>1</v>
      </c>
      <c r="AL267">
        <v>0</v>
      </c>
      <c r="AM267">
        <v>0</v>
      </c>
      <c r="AN267">
        <v>0</v>
      </c>
      <c r="AO267">
        <v>0</v>
      </c>
      <c r="AP267">
        <v>2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6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6</v>
      </c>
      <c r="BK267">
        <v>0</v>
      </c>
      <c r="BL267">
        <v>0</v>
      </c>
      <c r="BM267">
        <v>0</v>
      </c>
      <c r="BN267">
        <v>6</v>
      </c>
      <c r="BO267">
        <v>56</v>
      </c>
      <c r="BP267">
        <v>49</v>
      </c>
      <c r="BQ267">
        <v>3</v>
      </c>
      <c r="BR267">
        <v>0</v>
      </c>
      <c r="BS267">
        <v>0</v>
      </c>
      <c r="BT267">
        <v>0</v>
      </c>
      <c r="BU267">
        <v>0</v>
      </c>
      <c r="BV267">
        <v>1</v>
      </c>
      <c r="BW267">
        <v>3</v>
      </c>
      <c r="BX267">
        <v>0</v>
      </c>
      <c r="BY267">
        <v>0</v>
      </c>
      <c r="BZ267">
        <v>56</v>
      </c>
      <c r="CA267">
        <v>3</v>
      </c>
      <c r="CB267">
        <v>2</v>
      </c>
      <c r="CC267">
        <v>0</v>
      </c>
      <c r="CD267">
        <v>0</v>
      </c>
      <c r="CE267">
        <v>0</v>
      </c>
      <c r="CF267">
        <v>0</v>
      </c>
      <c r="CG267">
        <v>1</v>
      </c>
      <c r="CH267">
        <v>0</v>
      </c>
      <c r="CI267">
        <v>0</v>
      </c>
      <c r="CJ267">
        <v>0</v>
      </c>
      <c r="CK267">
        <v>0</v>
      </c>
      <c r="CL267">
        <v>3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2</v>
      </c>
      <c r="DL267">
        <v>1</v>
      </c>
      <c r="DM267">
        <v>1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0</v>
      </c>
      <c r="DV267">
        <v>2</v>
      </c>
      <c r="DW267">
        <v>8</v>
      </c>
      <c r="DX267">
        <v>1</v>
      </c>
      <c r="DY267">
        <v>5</v>
      </c>
      <c r="DZ267">
        <v>0</v>
      </c>
      <c r="EA267">
        <v>1</v>
      </c>
      <c r="EB267">
        <v>1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8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1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1</v>
      </c>
      <c r="FN267">
        <v>0</v>
      </c>
      <c r="FO267">
        <v>0</v>
      </c>
      <c r="FP267">
        <v>1</v>
      </c>
    </row>
    <row r="268" spans="1:172" ht="14.25">
      <c r="A268">
        <v>263</v>
      </c>
      <c r="B268" t="str">
        <f>"101205"</f>
        <v>101205</v>
      </c>
      <c r="C268" t="str">
        <f>"Kamieńsk"</f>
        <v>Kamieńsk</v>
      </c>
      <c r="D268" t="str">
        <f t="shared" si="48"/>
        <v>radomszczański</v>
      </c>
      <c r="E268" t="str">
        <f t="shared" si="49"/>
        <v>łódzkie</v>
      </c>
      <c r="F268">
        <v>5</v>
      </c>
      <c r="G268" t="str">
        <f>"Zespół Szkolno-Przedszkolny, ul. Adamowskiego 7, Gorzędów, 97-360 Kamieńsk"</f>
        <v>Zespół Szkolno-Przedszkolny, ul. Adamowskiego 7, Gorzędów, 97-360 Kamieńsk</v>
      </c>
      <c r="H268">
        <v>684</v>
      </c>
      <c r="I268">
        <v>684</v>
      </c>
      <c r="J268">
        <v>0</v>
      </c>
      <c r="K268">
        <v>480</v>
      </c>
      <c r="L268">
        <v>307</v>
      </c>
      <c r="M268">
        <v>173</v>
      </c>
      <c r="N268">
        <v>173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173</v>
      </c>
      <c r="Z268">
        <v>0</v>
      </c>
      <c r="AA268">
        <v>0</v>
      </c>
      <c r="AB268">
        <v>173</v>
      </c>
      <c r="AC268">
        <v>12</v>
      </c>
      <c r="AD268">
        <v>161</v>
      </c>
      <c r="AE268">
        <v>14</v>
      </c>
      <c r="AF268">
        <v>6</v>
      </c>
      <c r="AG268">
        <v>1</v>
      </c>
      <c r="AH268">
        <v>3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4</v>
      </c>
      <c r="AP268">
        <v>14</v>
      </c>
      <c r="AQ268">
        <v>4</v>
      </c>
      <c r="AR268">
        <v>0</v>
      </c>
      <c r="AS268">
        <v>0</v>
      </c>
      <c r="AT268">
        <v>3</v>
      </c>
      <c r="AU268">
        <v>0</v>
      </c>
      <c r="AV268">
        <v>0</v>
      </c>
      <c r="AW268">
        <v>0</v>
      </c>
      <c r="AX268">
        <v>1</v>
      </c>
      <c r="AY268">
        <v>0</v>
      </c>
      <c r="AZ268">
        <v>0</v>
      </c>
      <c r="BA268">
        <v>0</v>
      </c>
      <c r="BB268">
        <v>4</v>
      </c>
      <c r="BC268">
        <v>4</v>
      </c>
      <c r="BD268">
        <v>1</v>
      </c>
      <c r="BE268">
        <v>0</v>
      </c>
      <c r="BF268">
        <v>0</v>
      </c>
      <c r="BG268">
        <v>0</v>
      </c>
      <c r="BH268">
        <v>1</v>
      </c>
      <c r="BI268">
        <v>2</v>
      </c>
      <c r="BJ268">
        <v>0</v>
      </c>
      <c r="BK268">
        <v>0</v>
      </c>
      <c r="BL268">
        <v>0</v>
      </c>
      <c r="BM268">
        <v>0</v>
      </c>
      <c r="BN268">
        <v>4</v>
      </c>
      <c r="BO268">
        <v>85</v>
      </c>
      <c r="BP268">
        <v>74</v>
      </c>
      <c r="BQ268">
        <v>2</v>
      </c>
      <c r="BR268">
        <v>0</v>
      </c>
      <c r="BS268">
        <v>0</v>
      </c>
      <c r="BT268">
        <v>1</v>
      </c>
      <c r="BU268">
        <v>3</v>
      </c>
      <c r="BV268">
        <v>0</v>
      </c>
      <c r="BW268">
        <v>0</v>
      </c>
      <c r="BX268">
        <v>2</v>
      </c>
      <c r="BY268">
        <v>3</v>
      </c>
      <c r="BZ268">
        <v>85</v>
      </c>
      <c r="CA268">
        <v>1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1</v>
      </c>
      <c r="CH268">
        <v>0</v>
      </c>
      <c r="CI268">
        <v>0</v>
      </c>
      <c r="CJ268">
        <v>0</v>
      </c>
      <c r="CK268">
        <v>0</v>
      </c>
      <c r="CL268">
        <v>1</v>
      </c>
      <c r="CM268">
        <v>4</v>
      </c>
      <c r="CN268">
        <v>3</v>
      </c>
      <c r="CO268">
        <v>0</v>
      </c>
      <c r="CP268">
        <v>1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4</v>
      </c>
      <c r="CY268">
        <v>5</v>
      </c>
      <c r="CZ268">
        <v>5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5</v>
      </c>
      <c r="DK268">
        <v>13</v>
      </c>
      <c r="DL268">
        <v>8</v>
      </c>
      <c r="DM268">
        <v>4</v>
      </c>
      <c r="DN268">
        <v>0</v>
      </c>
      <c r="DO268">
        <v>0</v>
      </c>
      <c r="DP268">
        <v>0</v>
      </c>
      <c r="DQ268">
        <v>0</v>
      </c>
      <c r="DR268">
        <v>1</v>
      </c>
      <c r="DS268">
        <v>0</v>
      </c>
      <c r="DT268">
        <v>0</v>
      </c>
      <c r="DU268">
        <v>0</v>
      </c>
      <c r="DV268">
        <v>13</v>
      </c>
      <c r="DW268">
        <v>30</v>
      </c>
      <c r="DX268">
        <v>0</v>
      </c>
      <c r="DY268">
        <v>23</v>
      </c>
      <c r="DZ268">
        <v>0</v>
      </c>
      <c r="EA268">
        <v>0</v>
      </c>
      <c r="EB268">
        <v>6</v>
      </c>
      <c r="EC268">
        <v>1</v>
      </c>
      <c r="ED268">
        <v>0</v>
      </c>
      <c r="EE268">
        <v>0</v>
      </c>
      <c r="EF268">
        <v>0</v>
      </c>
      <c r="EG268">
        <v>0</v>
      </c>
      <c r="EH268">
        <v>30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1</v>
      </c>
      <c r="ET268">
        <v>0</v>
      </c>
      <c r="EU268">
        <v>1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1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</row>
    <row r="269" spans="1:172" ht="14.25">
      <c r="A269">
        <v>264</v>
      </c>
      <c r="B269" t="str">
        <f>"101206"</f>
        <v>101206</v>
      </c>
      <c r="C269" t="str">
        <f>"Kobiele Wielkie"</f>
        <v>Kobiele Wielkie</v>
      </c>
      <c r="D269" t="str">
        <f t="shared" si="48"/>
        <v>radomszczański</v>
      </c>
      <c r="E269" t="str">
        <f t="shared" si="49"/>
        <v>łódzkie</v>
      </c>
      <c r="F269">
        <v>1</v>
      </c>
      <c r="G269" t="str">
        <f>"Świetlica Wiejska w Kobielach Małych, Kobiele Małe 70A, 97-524 Kobiele Wielkie"</f>
        <v>Świetlica Wiejska w Kobielach Małych, Kobiele Małe 70A, 97-524 Kobiele Wielkie</v>
      </c>
      <c r="H269">
        <v>1091</v>
      </c>
      <c r="I269">
        <v>1091</v>
      </c>
      <c r="J269">
        <v>0</v>
      </c>
      <c r="K269">
        <v>770</v>
      </c>
      <c r="L269">
        <v>593</v>
      </c>
      <c r="M269">
        <v>177</v>
      </c>
      <c r="N269">
        <v>177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177</v>
      </c>
      <c r="Z269">
        <v>0</v>
      </c>
      <c r="AA269">
        <v>0</v>
      </c>
      <c r="AB269">
        <v>177</v>
      </c>
      <c r="AC269">
        <v>23</v>
      </c>
      <c r="AD269">
        <v>154</v>
      </c>
      <c r="AE269">
        <v>7</v>
      </c>
      <c r="AF269">
        <v>3</v>
      </c>
      <c r="AG269">
        <v>0</v>
      </c>
      <c r="AH269">
        <v>2</v>
      </c>
      <c r="AI269">
        <v>0</v>
      </c>
      <c r="AJ269">
        <v>1</v>
      </c>
      <c r="AK269">
        <v>0</v>
      </c>
      <c r="AL269">
        <v>1</v>
      </c>
      <c r="AM269">
        <v>0</v>
      </c>
      <c r="AN269">
        <v>0</v>
      </c>
      <c r="AO269">
        <v>0</v>
      </c>
      <c r="AP269">
        <v>7</v>
      </c>
      <c r="AQ269">
        <v>2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1</v>
      </c>
      <c r="AZ269">
        <v>0</v>
      </c>
      <c r="BA269">
        <v>1</v>
      </c>
      <c r="BB269">
        <v>2</v>
      </c>
      <c r="BC269">
        <v>22</v>
      </c>
      <c r="BD269">
        <v>14</v>
      </c>
      <c r="BE269">
        <v>0</v>
      </c>
      <c r="BF269">
        <v>0</v>
      </c>
      <c r="BG269">
        <v>0</v>
      </c>
      <c r="BH269">
        <v>4</v>
      </c>
      <c r="BI269">
        <v>2</v>
      </c>
      <c r="BJ269">
        <v>0</v>
      </c>
      <c r="BK269">
        <v>0</v>
      </c>
      <c r="BL269">
        <v>1</v>
      </c>
      <c r="BM269">
        <v>1</v>
      </c>
      <c r="BN269">
        <v>22</v>
      </c>
      <c r="BO269">
        <v>68</v>
      </c>
      <c r="BP269">
        <v>61</v>
      </c>
      <c r="BQ269">
        <v>2</v>
      </c>
      <c r="BR269">
        <v>0</v>
      </c>
      <c r="BS269">
        <v>3</v>
      </c>
      <c r="BT269">
        <v>0</v>
      </c>
      <c r="BU269">
        <v>1</v>
      </c>
      <c r="BV269">
        <v>0</v>
      </c>
      <c r="BW269">
        <v>0</v>
      </c>
      <c r="BX269">
        <v>0</v>
      </c>
      <c r="BY269">
        <v>1</v>
      </c>
      <c r="BZ269">
        <v>68</v>
      </c>
      <c r="CA269">
        <v>3</v>
      </c>
      <c r="CB269">
        <v>2</v>
      </c>
      <c r="CC269">
        <v>0</v>
      </c>
      <c r="CD269">
        <v>0</v>
      </c>
      <c r="CE269">
        <v>0</v>
      </c>
      <c r="CF269">
        <v>0</v>
      </c>
      <c r="CG269">
        <v>1</v>
      </c>
      <c r="CH269">
        <v>0</v>
      </c>
      <c r="CI269">
        <v>0</v>
      </c>
      <c r="CJ269">
        <v>0</v>
      </c>
      <c r="CK269">
        <v>0</v>
      </c>
      <c r="CL269">
        <v>3</v>
      </c>
      <c r="CM269">
        <v>2</v>
      </c>
      <c r="CN269">
        <v>0</v>
      </c>
      <c r="CO269">
        <v>0</v>
      </c>
      <c r="CP269">
        <v>1</v>
      </c>
      <c r="CQ269">
        <v>0</v>
      </c>
      <c r="CR269">
        <v>1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2</v>
      </c>
      <c r="CY269">
        <v>6</v>
      </c>
      <c r="CZ269">
        <v>2</v>
      </c>
      <c r="DA269">
        <v>2</v>
      </c>
      <c r="DB269">
        <v>0</v>
      </c>
      <c r="DC269">
        <v>0</v>
      </c>
      <c r="DD269">
        <v>0</v>
      </c>
      <c r="DE269">
        <v>0</v>
      </c>
      <c r="DF269">
        <v>1</v>
      </c>
      <c r="DG269">
        <v>0</v>
      </c>
      <c r="DH269">
        <v>0</v>
      </c>
      <c r="DI269">
        <v>1</v>
      </c>
      <c r="DJ269">
        <v>6</v>
      </c>
      <c r="DK269">
        <v>15</v>
      </c>
      <c r="DL269">
        <v>5</v>
      </c>
      <c r="DM269">
        <v>8</v>
      </c>
      <c r="DN269">
        <v>0</v>
      </c>
      <c r="DO269">
        <v>0</v>
      </c>
      <c r="DP269">
        <v>0</v>
      </c>
      <c r="DQ269">
        <v>0</v>
      </c>
      <c r="DR269">
        <v>1</v>
      </c>
      <c r="DS269">
        <v>1</v>
      </c>
      <c r="DT269">
        <v>0</v>
      </c>
      <c r="DU269">
        <v>0</v>
      </c>
      <c r="DV269">
        <v>15</v>
      </c>
      <c r="DW269">
        <v>27</v>
      </c>
      <c r="DX269">
        <v>7</v>
      </c>
      <c r="DY269">
        <v>8</v>
      </c>
      <c r="DZ269">
        <v>0</v>
      </c>
      <c r="EA269">
        <v>0</v>
      </c>
      <c r="EB269">
        <v>5</v>
      </c>
      <c r="EC269">
        <v>4</v>
      </c>
      <c r="ED269">
        <v>0</v>
      </c>
      <c r="EE269">
        <v>1</v>
      </c>
      <c r="EF269">
        <v>2</v>
      </c>
      <c r="EG269">
        <v>0</v>
      </c>
      <c r="EH269">
        <v>27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2</v>
      </c>
      <c r="FF269">
        <v>0</v>
      </c>
      <c r="FG269">
        <v>0</v>
      </c>
      <c r="FH269">
        <v>0</v>
      </c>
      <c r="FI269">
        <v>0</v>
      </c>
      <c r="FJ269">
        <v>1</v>
      </c>
      <c r="FK269">
        <v>0</v>
      </c>
      <c r="FL269">
        <v>1</v>
      </c>
      <c r="FM269">
        <v>0</v>
      </c>
      <c r="FN269">
        <v>0</v>
      </c>
      <c r="FO269">
        <v>0</v>
      </c>
      <c r="FP269">
        <v>2</v>
      </c>
    </row>
    <row r="270" spans="1:172" ht="14.25">
      <c r="A270">
        <v>265</v>
      </c>
      <c r="B270" t="str">
        <f>"101206"</f>
        <v>101206</v>
      </c>
      <c r="C270" t="str">
        <f>"Kobiele Wielkie"</f>
        <v>Kobiele Wielkie</v>
      </c>
      <c r="D270" t="str">
        <f t="shared" si="48"/>
        <v>radomszczański</v>
      </c>
      <c r="E270" t="str">
        <f t="shared" si="49"/>
        <v>łódzkie</v>
      </c>
      <c r="F270">
        <v>2</v>
      </c>
      <c r="G270" t="str">
        <f>"Gminny Ośrodek Kultury i Sportu w Kobielach Wielkich, Reymonta 75, 97-524 Kobiele Wielkie"</f>
        <v>Gminny Ośrodek Kultury i Sportu w Kobielach Wielkich, Reymonta 75, 97-524 Kobiele Wielkie</v>
      </c>
      <c r="H270">
        <v>1109</v>
      </c>
      <c r="I270">
        <v>1109</v>
      </c>
      <c r="J270">
        <v>0</v>
      </c>
      <c r="K270">
        <v>780</v>
      </c>
      <c r="L270">
        <v>618</v>
      </c>
      <c r="M270">
        <v>162</v>
      </c>
      <c r="N270">
        <v>162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162</v>
      </c>
      <c r="Z270">
        <v>0</v>
      </c>
      <c r="AA270">
        <v>0</v>
      </c>
      <c r="AB270">
        <v>162</v>
      </c>
      <c r="AC270">
        <v>11</v>
      </c>
      <c r="AD270">
        <v>151</v>
      </c>
      <c r="AE270">
        <v>4</v>
      </c>
      <c r="AF270">
        <v>2</v>
      </c>
      <c r="AG270">
        <v>0</v>
      </c>
      <c r="AH270">
        <v>1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1</v>
      </c>
      <c r="AP270">
        <v>4</v>
      </c>
      <c r="AQ270">
        <v>1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1</v>
      </c>
      <c r="AX270">
        <v>0</v>
      </c>
      <c r="AY270">
        <v>0</v>
      </c>
      <c r="AZ270">
        <v>0</v>
      </c>
      <c r="BA270">
        <v>0</v>
      </c>
      <c r="BB270">
        <v>1</v>
      </c>
      <c r="BC270">
        <v>48</v>
      </c>
      <c r="BD270">
        <v>23</v>
      </c>
      <c r="BE270">
        <v>0</v>
      </c>
      <c r="BF270">
        <v>3</v>
      </c>
      <c r="BG270">
        <v>0</v>
      </c>
      <c r="BH270">
        <v>14</v>
      </c>
      <c r="BI270">
        <v>2</v>
      </c>
      <c r="BJ270">
        <v>0</v>
      </c>
      <c r="BK270">
        <v>0</v>
      </c>
      <c r="BL270">
        <v>0</v>
      </c>
      <c r="BM270">
        <v>6</v>
      </c>
      <c r="BN270">
        <v>48</v>
      </c>
      <c r="BO270">
        <v>62</v>
      </c>
      <c r="BP270">
        <v>61</v>
      </c>
      <c r="BQ270">
        <v>0</v>
      </c>
      <c r="BR270">
        <v>0</v>
      </c>
      <c r="BS270">
        <v>0</v>
      </c>
      <c r="BT270">
        <v>1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62</v>
      </c>
      <c r="CA270">
        <v>3</v>
      </c>
      <c r="CB270">
        <v>1</v>
      </c>
      <c r="CC270">
        <v>2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3</v>
      </c>
      <c r="CM270">
        <v>5</v>
      </c>
      <c r="CN270">
        <v>2</v>
      </c>
      <c r="CO270">
        <v>1</v>
      </c>
      <c r="CP270">
        <v>0</v>
      </c>
      <c r="CQ270">
        <v>1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1</v>
      </c>
      <c r="CX270">
        <v>5</v>
      </c>
      <c r="CY270">
        <v>6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1</v>
      </c>
      <c r="DF270">
        <v>0</v>
      </c>
      <c r="DG270">
        <v>0</v>
      </c>
      <c r="DH270">
        <v>2</v>
      </c>
      <c r="DI270">
        <v>3</v>
      </c>
      <c r="DJ270">
        <v>6</v>
      </c>
      <c r="DK270">
        <v>9</v>
      </c>
      <c r="DL270">
        <v>6</v>
      </c>
      <c r="DM270">
        <v>3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9</v>
      </c>
      <c r="DW270">
        <v>13</v>
      </c>
      <c r="DX270">
        <v>3</v>
      </c>
      <c r="DY270">
        <v>6</v>
      </c>
      <c r="DZ270">
        <v>0</v>
      </c>
      <c r="EA270">
        <v>0</v>
      </c>
      <c r="EB270">
        <v>1</v>
      </c>
      <c r="EC270">
        <v>0</v>
      </c>
      <c r="ED270">
        <v>0</v>
      </c>
      <c r="EE270">
        <v>1</v>
      </c>
      <c r="EF270">
        <v>2</v>
      </c>
      <c r="EG270">
        <v>0</v>
      </c>
      <c r="EH270">
        <v>13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</row>
    <row r="271" spans="1:172" ht="14.25">
      <c r="A271">
        <v>266</v>
      </c>
      <c r="B271" t="str">
        <f>"101206"</f>
        <v>101206</v>
      </c>
      <c r="C271" t="str">
        <f>"Kobiele Wielkie"</f>
        <v>Kobiele Wielkie</v>
      </c>
      <c r="D271" t="str">
        <f t="shared" si="48"/>
        <v>radomszczański</v>
      </c>
      <c r="E271" t="str">
        <f t="shared" si="49"/>
        <v>łódzkie</v>
      </c>
      <c r="F271">
        <v>3</v>
      </c>
      <c r="G271" t="str">
        <f>"Strażnica Ochotniczej Straży Pożarnej w Przybyszowie, Przybyszów 42, 97-524 Kobiele Wielkie"</f>
        <v>Strażnica Ochotniczej Straży Pożarnej w Przybyszowie, Przybyszów 42, 97-524 Kobiele Wielkie</v>
      </c>
      <c r="H271">
        <v>659</v>
      </c>
      <c r="I271">
        <v>659</v>
      </c>
      <c r="J271">
        <v>0</v>
      </c>
      <c r="K271">
        <v>460</v>
      </c>
      <c r="L271">
        <v>343</v>
      </c>
      <c r="M271">
        <v>117</v>
      </c>
      <c r="N271">
        <v>117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117</v>
      </c>
      <c r="Z271">
        <v>0</v>
      </c>
      <c r="AA271">
        <v>0</v>
      </c>
      <c r="AB271">
        <v>117</v>
      </c>
      <c r="AC271">
        <v>3</v>
      </c>
      <c r="AD271">
        <v>114</v>
      </c>
      <c r="AE271">
        <v>12</v>
      </c>
      <c r="AF271">
        <v>3</v>
      </c>
      <c r="AG271">
        <v>1</v>
      </c>
      <c r="AH271">
        <v>7</v>
      </c>
      <c r="AI271">
        <v>0</v>
      </c>
      <c r="AJ271">
        <v>0</v>
      </c>
      <c r="AK271">
        <v>1</v>
      </c>
      <c r="AL271">
        <v>0</v>
      </c>
      <c r="AM271">
        <v>0</v>
      </c>
      <c r="AN271">
        <v>0</v>
      </c>
      <c r="AO271">
        <v>0</v>
      </c>
      <c r="AP271">
        <v>12</v>
      </c>
      <c r="AQ271">
        <v>4</v>
      </c>
      <c r="AR271">
        <v>0</v>
      </c>
      <c r="AS271">
        <v>0</v>
      </c>
      <c r="AT271">
        <v>0</v>
      </c>
      <c r="AU271">
        <v>0</v>
      </c>
      <c r="AV271">
        <v>1</v>
      </c>
      <c r="AW271">
        <v>0</v>
      </c>
      <c r="AX271">
        <v>1</v>
      </c>
      <c r="AY271">
        <v>1</v>
      </c>
      <c r="AZ271">
        <v>1</v>
      </c>
      <c r="BA271">
        <v>0</v>
      </c>
      <c r="BB271">
        <v>4</v>
      </c>
      <c r="BC271">
        <v>16</v>
      </c>
      <c r="BD271">
        <v>8</v>
      </c>
      <c r="BE271">
        <v>0</v>
      </c>
      <c r="BF271">
        <v>0</v>
      </c>
      <c r="BG271">
        <v>0</v>
      </c>
      <c r="BH271">
        <v>7</v>
      </c>
      <c r="BI271">
        <v>1</v>
      </c>
      <c r="BJ271">
        <v>0</v>
      </c>
      <c r="BK271">
        <v>0</v>
      </c>
      <c r="BL271">
        <v>0</v>
      </c>
      <c r="BM271">
        <v>0</v>
      </c>
      <c r="BN271">
        <v>16</v>
      </c>
      <c r="BO271">
        <v>45</v>
      </c>
      <c r="BP271">
        <v>38</v>
      </c>
      <c r="BQ271">
        <v>0</v>
      </c>
      <c r="BR271">
        <v>0</v>
      </c>
      <c r="BS271">
        <v>0</v>
      </c>
      <c r="BT271">
        <v>0</v>
      </c>
      <c r="BU271">
        <v>1</v>
      </c>
      <c r="BV271">
        <v>0</v>
      </c>
      <c r="BW271">
        <v>6</v>
      </c>
      <c r="BX271">
        <v>0</v>
      </c>
      <c r="BY271">
        <v>0</v>
      </c>
      <c r="BZ271">
        <v>45</v>
      </c>
      <c r="CA271">
        <v>3</v>
      </c>
      <c r="CB271">
        <v>1</v>
      </c>
      <c r="CC271">
        <v>0</v>
      </c>
      <c r="CD271">
        <v>1</v>
      </c>
      <c r="CE271">
        <v>1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3</v>
      </c>
      <c r="CM271">
        <v>1</v>
      </c>
      <c r="CN271">
        <v>0</v>
      </c>
      <c r="CO271">
        <v>0</v>
      </c>
      <c r="CP271">
        <v>0</v>
      </c>
      <c r="CQ271">
        <v>1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1</v>
      </c>
      <c r="CY271">
        <v>6</v>
      </c>
      <c r="CZ271">
        <v>5</v>
      </c>
      <c r="DA271">
        <v>0</v>
      </c>
      <c r="DB271">
        <v>0</v>
      </c>
      <c r="DC271">
        <v>1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6</v>
      </c>
      <c r="DK271">
        <v>20</v>
      </c>
      <c r="DL271">
        <v>11</v>
      </c>
      <c r="DM271">
        <v>4</v>
      </c>
      <c r="DN271">
        <v>2</v>
      </c>
      <c r="DO271">
        <v>0</v>
      </c>
      <c r="DP271">
        <v>1</v>
      </c>
      <c r="DQ271">
        <v>1</v>
      </c>
      <c r="DR271">
        <v>0</v>
      </c>
      <c r="DS271">
        <v>0</v>
      </c>
      <c r="DT271">
        <v>0</v>
      </c>
      <c r="DU271">
        <v>1</v>
      </c>
      <c r="DV271">
        <v>20</v>
      </c>
      <c r="DW271">
        <v>6</v>
      </c>
      <c r="DX271">
        <v>2</v>
      </c>
      <c r="DY271">
        <v>4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6</v>
      </c>
      <c r="EI271">
        <v>1</v>
      </c>
      <c r="EJ271">
        <v>0</v>
      </c>
      <c r="EK271">
        <v>1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1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</row>
    <row r="272" spans="1:172" ht="14.25">
      <c r="A272">
        <v>267</v>
      </c>
      <c r="B272" t="str">
        <f>"101206"</f>
        <v>101206</v>
      </c>
      <c r="C272" t="str">
        <f>"Kobiele Wielkie"</f>
        <v>Kobiele Wielkie</v>
      </c>
      <c r="D272" t="str">
        <f t="shared" si="48"/>
        <v>radomszczański</v>
      </c>
      <c r="E272" t="str">
        <f t="shared" si="49"/>
        <v>łódzkie</v>
      </c>
      <c r="F272">
        <v>4</v>
      </c>
      <c r="G272" t="str">
        <f>"Publiczna Szkoła Podstawowa w Orzechowie, Orzechów 2, 97-524 Kobiele Wielkie"</f>
        <v>Publiczna Szkoła Podstawowa w Orzechowie, Orzechów 2, 97-524 Kobiele Wielkie</v>
      </c>
      <c r="H272">
        <v>767</v>
      </c>
      <c r="I272">
        <v>767</v>
      </c>
      <c r="J272">
        <v>0</v>
      </c>
      <c r="K272">
        <v>540</v>
      </c>
      <c r="L272">
        <v>427</v>
      </c>
      <c r="M272">
        <v>113</v>
      </c>
      <c r="N272">
        <v>113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113</v>
      </c>
      <c r="Z272">
        <v>0</v>
      </c>
      <c r="AA272">
        <v>0</v>
      </c>
      <c r="AB272">
        <v>113</v>
      </c>
      <c r="AC272">
        <v>4</v>
      </c>
      <c r="AD272">
        <v>109</v>
      </c>
      <c r="AE272">
        <v>6</v>
      </c>
      <c r="AF272">
        <v>2</v>
      </c>
      <c r="AG272">
        <v>1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1</v>
      </c>
      <c r="AN272">
        <v>0</v>
      </c>
      <c r="AO272">
        <v>2</v>
      </c>
      <c r="AP272">
        <v>6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19</v>
      </c>
      <c r="BD272">
        <v>10</v>
      </c>
      <c r="BE272">
        <v>3</v>
      </c>
      <c r="BF272">
        <v>1</v>
      </c>
      <c r="BG272">
        <v>1</v>
      </c>
      <c r="BH272">
        <v>3</v>
      </c>
      <c r="BI272">
        <v>0</v>
      </c>
      <c r="BJ272">
        <v>0</v>
      </c>
      <c r="BK272">
        <v>0</v>
      </c>
      <c r="BL272">
        <v>0</v>
      </c>
      <c r="BM272">
        <v>1</v>
      </c>
      <c r="BN272">
        <v>19</v>
      </c>
      <c r="BO272">
        <v>51</v>
      </c>
      <c r="BP272">
        <v>42</v>
      </c>
      <c r="BQ272">
        <v>0</v>
      </c>
      <c r="BR272">
        <v>0</v>
      </c>
      <c r="BS272">
        <v>4</v>
      </c>
      <c r="BT272">
        <v>0</v>
      </c>
      <c r="BU272">
        <v>1</v>
      </c>
      <c r="BV272">
        <v>0</v>
      </c>
      <c r="BW272">
        <v>3</v>
      </c>
      <c r="BX272">
        <v>1</v>
      </c>
      <c r="BY272">
        <v>0</v>
      </c>
      <c r="BZ272">
        <v>51</v>
      </c>
      <c r="CA272">
        <v>3</v>
      </c>
      <c r="CB272">
        <v>0</v>
      </c>
      <c r="CC272">
        <v>1</v>
      </c>
      <c r="CD272">
        <v>1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1</v>
      </c>
      <c r="CK272">
        <v>0</v>
      </c>
      <c r="CL272">
        <v>3</v>
      </c>
      <c r="CM272">
        <v>3</v>
      </c>
      <c r="CN272">
        <v>1</v>
      </c>
      <c r="CO272">
        <v>0</v>
      </c>
      <c r="CP272">
        <v>1</v>
      </c>
      <c r="CQ272">
        <v>0</v>
      </c>
      <c r="CR272">
        <v>1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3</v>
      </c>
      <c r="CY272">
        <v>4</v>
      </c>
      <c r="CZ272">
        <v>2</v>
      </c>
      <c r="DA272">
        <v>0</v>
      </c>
      <c r="DB272">
        <v>0</v>
      </c>
      <c r="DC272">
        <v>1</v>
      </c>
      <c r="DD272">
        <v>0</v>
      </c>
      <c r="DE272">
        <v>0</v>
      </c>
      <c r="DF272">
        <v>0</v>
      </c>
      <c r="DG272">
        <v>1</v>
      </c>
      <c r="DH272">
        <v>0</v>
      </c>
      <c r="DI272">
        <v>0</v>
      </c>
      <c r="DJ272">
        <v>4</v>
      </c>
      <c r="DK272">
        <v>19</v>
      </c>
      <c r="DL272">
        <v>7</v>
      </c>
      <c r="DM272">
        <v>8</v>
      </c>
      <c r="DN272">
        <v>0</v>
      </c>
      <c r="DO272">
        <v>2</v>
      </c>
      <c r="DP272">
        <v>1</v>
      </c>
      <c r="DQ272">
        <v>0</v>
      </c>
      <c r="DR272">
        <v>0</v>
      </c>
      <c r="DS272">
        <v>0</v>
      </c>
      <c r="DT272">
        <v>1</v>
      </c>
      <c r="DU272">
        <v>0</v>
      </c>
      <c r="DV272">
        <v>19</v>
      </c>
      <c r="DW272">
        <v>3</v>
      </c>
      <c r="DX272">
        <v>1</v>
      </c>
      <c r="DY272">
        <v>0</v>
      </c>
      <c r="DZ272">
        <v>0</v>
      </c>
      <c r="EA272">
        <v>1</v>
      </c>
      <c r="EB272">
        <v>0</v>
      </c>
      <c r="EC272">
        <v>0</v>
      </c>
      <c r="ED272">
        <v>0</v>
      </c>
      <c r="EE272">
        <v>0</v>
      </c>
      <c r="EF272">
        <v>1</v>
      </c>
      <c r="EG272">
        <v>0</v>
      </c>
      <c r="EH272">
        <v>3</v>
      </c>
      <c r="EI272">
        <v>1</v>
      </c>
      <c r="EJ272">
        <v>0</v>
      </c>
      <c r="EK272">
        <v>1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1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</row>
    <row r="273" spans="1:172" ht="14.25">
      <c r="A273">
        <v>268</v>
      </c>
      <c r="B273" t="str">
        <f aca="true" t="shared" si="50" ref="B273:B278">"101207"</f>
        <v>101207</v>
      </c>
      <c r="C273" t="str">
        <f aca="true" t="shared" si="51" ref="C273:C278">"Kodrąb"</f>
        <v>Kodrąb</v>
      </c>
      <c r="D273" t="str">
        <f t="shared" si="48"/>
        <v>radomszczański</v>
      </c>
      <c r="E273" t="str">
        <f t="shared" si="49"/>
        <v>łódzkie</v>
      </c>
      <c r="F273">
        <v>1</v>
      </c>
      <c r="G273" t="str">
        <f>"Zespół Szkolno-Gimnazjalny w Kodrębie, ul. Leśna 2, 97-512 Kodrąb"</f>
        <v>Zespół Szkolno-Gimnazjalny w Kodrębie, ul. Leśna 2, 97-512 Kodrąb</v>
      </c>
      <c r="H273">
        <v>781</v>
      </c>
      <c r="I273">
        <v>781</v>
      </c>
      <c r="J273">
        <v>0</v>
      </c>
      <c r="K273">
        <v>560</v>
      </c>
      <c r="L273">
        <v>459</v>
      </c>
      <c r="M273">
        <v>101</v>
      </c>
      <c r="N273">
        <v>101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101</v>
      </c>
      <c r="Z273">
        <v>0</v>
      </c>
      <c r="AA273">
        <v>0</v>
      </c>
      <c r="AB273">
        <v>101</v>
      </c>
      <c r="AC273">
        <v>1</v>
      </c>
      <c r="AD273">
        <v>100</v>
      </c>
      <c r="AE273">
        <v>2</v>
      </c>
      <c r="AF273">
        <v>0</v>
      </c>
      <c r="AG273">
        <v>0</v>
      </c>
      <c r="AH273">
        <v>2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2</v>
      </c>
      <c r="AQ273">
        <v>2</v>
      </c>
      <c r="AR273">
        <v>1</v>
      </c>
      <c r="AS273">
        <v>0</v>
      </c>
      <c r="AT273">
        <v>1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2</v>
      </c>
      <c r="BC273">
        <v>3</v>
      </c>
      <c r="BD273">
        <v>1</v>
      </c>
      <c r="BE273">
        <v>0</v>
      </c>
      <c r="BF273">
        <v>0</v>
      </c>
      <c r="BG273">
        <v>1</v>
      </c>
      <c r="BH273">
        <v>0</v>
      </c>
      <c r="BI273">
        <v>1</v>
      </c>
      <c r="BJ273">
        <v>0</v>
      </c>
      <c r="BK273">
        <v>0</v>
      </c>
      <c r="BL273">
        <v>0</v>
      </c>
      <c r="BM273">
        <v>0</v>
      </c>
      <c r="BN273">
        <v>3</v>
      </c>
      <c r="BO273">
        <v>74</v>
      </c>
      <c r="BP273">
        <v>64</v>
      </c>
      <c r="BQ273">
        <v>2</v>
      </c>
      <c r="BR273">
        <v>0</v>
      </c>
      <c r="BS273">
        <v>0</v>
      </c>
      <c r="BT273">
        <v>0</v>
      </c>
      <c r="BU273">
        <v>3</v>
      </c>
      <c r="BV273">
        <v>0</v>
      </c>
      <c r="BW273">
        <v>3</v>
      </c>
      <c r="BX273">
        <v>2</v>
      </c>
      <c r="BY273">
        <v>0</v>
      </c>
      <c r="BZ273">
        <v>74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2</v>
      </c>
      <c r="CN273">
        <v>0</v>
      </c>
      <c r="CO273">
        <v>0</v>
      </c>
      <c r="CP273">
        <v>0</v>
      </c>
      <c r="CQ273">
        <v>1</v>
      </c>
      <c r="CR273">
        <v>0</v>
      </c>
      <c r="CS273">
        <v>0</v>
      </c>
      <c r="CT273">
        <v>1</v>
      </c>
      <c r="CU273">
        <v>0</v>
      </c>
      <c r="CV273">
        <v>0</v>
      </c>
      <c r="CW273">
        <v>0</v>
      </c>
      <c r="CX273">
        <v>2</v>
      </c>
      <c r="CY273">
        <v>2</v>
      </c>
      <c r="CZ273">
        <v>1</v>
      </c>
      <c r="DA273">
        <v>1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2</v>
      </c>
      <c r="DK273">
        <v>7</v>
      </c>
      <c r="DL273">
        <v>5</v>
      </c>
      <c r="DM273">
        <v>2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7</v>
      </c>
      <c r="DW273">
        <v>7</v>
      </c>
      <c r="DX273">
        <v>0</v>
      </c>
      <c r="DY273">
        <v>3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4</v>
      </c>
      <c r="EF273">
        <v>0</v>
      </c>
      <c r="EG273">
        <v>0</v>
      </c>
      <c r="EH273">
        <v>7</v>
      </c>
      <c r="EI273">
        <v>1</v>
      </c>
      <c r="EJ273">
        <v>0</v>
      </c>
      <c r="EK273">
        <v>1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1</v>
      </c>
      <c r="ES273">
        <v>0</v>
      </c>
      <c r="ET273">
        <v>0</v>
      </c>
      <c r="EU273">
        <v>0</v>
      </c>
      <c r="EV273">
        <v>0</v>
      </c>
      <c r="EW273">
        <v>0</v>
      </c>
      <c r="EX273">
        <v>0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</row>
    <row r="274" spans="1:172" ht="14.25">
      <c r="A274">
        <v>269</v>
      </c>
      <c r="B274" t="str">
        <f t="shared" si="50"/>
        <v>101207</v>
      </c>
      <c r="C274" t="str">
        <f t="shared" si="51"/>
        <v>Kodrąb</v>
      </c>
      <c r="D274" t="str">
        <f t="shared" si="48"/>
        <v>radomszczański</v>
      </c>
      <c r="E274" t="str">
        <f t="shared" si="49"/>
        <v>łódzkie</v>
      </c>
      <c r="F274">
        <v>2</v>
      </c>
      <c r="G274" t="str">
        <f>"Zespół Szkolno-Gimnazjalny w Kodrębie, ul. Leśna 2, 97-512 Kodrąb"</f>
        <v>Zespół Szkolno-Gimnazjalny w Kodrębie, ul. Leśna 2, 97-512 Kodrąb</v>
      </c>
      <c r="H274">
        <v>792</v>
      </c>
      <c r="I274">
        <v>792</v>
      </c>
      <c r="J274">
        <v>0</v>
      </c>
      <c r="K274">
        <v>550</v>
      </c>
      <c r="L274">
        <v>401</v>
      </c>
      <c r="M274">
        <v>149</v>
      </c>
      <c r="N274">
        <v>149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149</v>
      </c>
      <c r="Z274">
        <v>0</v>
      </c>
      <c r="AA274">
        <v>0</v>
      </c>
      <c r="AB274">
        <v>149</v>
      </c>
      <c r="AC274">
        <v>5</v>
      </c>
      <c r="AD274">
        <v>144</v>
      </c>
      <c r="AE274">
        <v>4</v>
      </c>
      <c r="AF274">
        <v>2</v>
      </c>
      <c r="AG274">
        <v>0</v>
      </c>
      <c r="AH274">
        <v>1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1</v>
      </c>
      <c r="AP274">
        <v>4</v>
      </c>
      <c r="AQ274">
        <v>2</v>
      </c>
      <c r="AR274">
        <v>0</v>
      </c>
      <c r="AS274">
        <v>2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2</v>
      </c>
      <c r="BC274">
        <v>7</v>
      </c>
      <c r="BD274">
        <v>4</v>
      </c>
      <c r="BE274">
        <v>0</v>
      </c>
      <c r="BF274">
        <v>0</v>
      </c>
      <c r="BG274">
        <v>0</v>
      </c>
      <c r="BH274">
        <v>1</v>
      </c>
      <c r="BI274">
        <v>0</v>
      </c>
      <c r="BJ274">
        <v>1</v>
      </c>
      <c r="BK274">
        <v>0</v>
      </c>
      <c r="BL274">
        <v>0</v>
      </c>
      <c r="BM274">
        <v>1</v>
      </c>
      <c r="BN274">
        <v>7</v>
      </c>
      <c r="BO274">
        <v>72</v>
      </c>
      <c r="BP274">
        <v>62</v>
      </c>
      <c r="BQ274">
        <v>1</v>
      </c>
      <c r="BR274">
        <v>1</v>
      </c>
      <c r="BS274">
        <v>0</v>
      </c>
      <c r="BT274">
        <v>0</v>
      </c>
      <c r="BU274">
        <v>2</v>
      </c>
      <c r="BV274">
        <v>1</v>
      </c>
      <c r="BW274">
        <v>5</v>
      </c>
      <c r="BX274">
        <v>0</v>
      </c>
      <c r="BY274">
        <v>0</v>
      </c>
      <c r="BZ274">
        <v>72</v>
      </c>
      <c r="CA274">
        <v>3</v>
      </c>
      <c r="CB274">
        <v>2</v>
      </c>
      <c r="CC274">
        <v>1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3</v>
      </c>
      <c r="CM274">
        <v>1</v>
      </c>
      <c r="CN274">
        <v>1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1</v>
      </c>
      <c r="CY274">
        <v>8</v>
      </c>
      <c r="CZ274">
        <v>5</v>
      </c>
      <c r="DA274">
        <v>0</v>
      </c>
      <c r="DB274">
        <v>0</v>
      </c>
      <c r="DC274">
        <v>1</v>
      </c>
      <c r="DD274">
        <v>0</v>
      </c>
      <c r="DE274">
        <v>1</v>
      </c>
      <c r="DF274">
        <v>0</v>
      </c>
      <c r="DG274">
        <v>1</v>
      </c>
      <c r="DH274">
        <v>0</v>
      </c>
      <c r="DI274">
        <v>0</v>
      </c>
      <c r="DJ274">
        <v>8</v>
      </c>
      <c r="DK274">
        <v>16</v>
      </c>
      <c r="DL274">
        <v>8</v>
      </c>
      <c r="DM274">
        <v>7</v>
      </c>
      <c r="DN274">
        <v>1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0</v>
      </c>
      <c r="DV274">
        <v>16</v>
      </c>
      <c r="DW274">
        <v>29</v>
      </c>
      <c r="DX274">
        <v>2</v>
      </c>
      <c r="DY274">
        <v>15</v>
      </c>
      <c r="DZ274">
        <v>0</v>
      </c>
      <c r="EA274">
        <v>0</v>
      </c>
      <c r="EB274">
        <v>1</v>
      </c>
      <c r="EC274">
        <v>0</v>
      </c>
      <c r="ED274">
        <v>0</v>
      </c>
      <c r="EE274">
        <v>9</v>
      </c>
      <c r="EF274">
        <v>2</v>
      </c>
      <c r="EG274">
        <v>0</v>
      </c>
      <c r="EH274">
        <v>29</v>
      </c>
      <c r="EI274">
        <v>1</v>
      </c>
      <c r="EJ274">
        <v>0</v>
      </c>
      <c r="EK274">
        <v>1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1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1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1</v>
      </c>
      <c r="FM274">
        <v>0</v>
      </c>
      <c r="FN274">
        <v>0</v>
      </c>
      <c r="FO274">
        <v>0</v>
      </c>
      <c r="FP274">
        <v>1</v>
      </c>
    </row>
    <row r="275" spans="1:172" ht="14.25">
      <c r="A275">
        <v>270</v>
      </c>
      <c r="B275" t="str">
        <f t="shared" si="50"/>
        <v>101207</v>
      </c>
      <c r="C275" t="str">
        <f t="shared" si="51"/>
        <v>Kodrąb</v>
      </c>
      <c r="D275" t="str">
        <f t="shared" si="48"/>
        <v>radomszczański</v>
      </c>
      <c r="E275" t="str">
        <f t="shared" si="49"/>
        <v>łódzkie</v>
      </c>
      <c r="F275">
        <v>3</v>
      </c>
      <c r="G275" t="str">
        <f>"Publiczna Szkoła Podstawowa w Rzejowicach, Rzejowice 91, 97-512 Kodrąb"</f>
        <v>Publiczna Szkoła Podstawowa w Rzejowicach, Rzejowice 91, 97-512 Kodrąb</v>
      </c>
      <c r="H275">
        <v>656</v>
      </c>
      <c r="I275">
        <v>656</v>
      </c>
      <c r="J275">
        <v>0</v>
      </c>
      <c r="K275">
        <v>450</v>
      </c>
      <c r="L275">
        <v>354</v>
      </c>
      <c r="M275">
        <v>96</v>
      </c>
      <c r="N275">
        <v>96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96</v>
      </c>
      <c r="Z275">
        <v>0</v>
      </c>
      <c r="AA275">
        <v>0</v>
      </c>
      <c r="AB275">
        <v>96</v>
      </c>
      <c r="AC275">
        <v>0</v>
      </c>
      <c r="AD275">
        <v>96</v>
      </c>
      <c r="AE275">
        <v>5</v>
      </c>
      <c r="AF275">
        <v>0</v>
      </c>
      <c r="AG275">
        <v>1</v>
      </c>
      <c r="AH275">
        <v>3</v>
      </c>
      <c r="AI275">
        <v>0</v>
      </c>
      <c r="AJ275">
        <v>0</v>
      </c>
      <c r="AK275">
        <v>1</v>
      </c>
      <c r="AL275">
        <v>0</v>
      </c>
      <c r="AM275">
        <v>0</v>
      </c>
      <c r="AN275">
        <v>0</v>
      </c>
      <c r="AO275">
        <v>0</v>
      </c>
      <c r="AP275">
        <v>5</v>
      </c>
      <c r="AQ275">
        <v>1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1</v>
      </c>
      <c r="AY275">
        <v>0</v>
      </c>
      <c r="AZ275">
        <v>0</v>
      </c>
      <c r="BA275">
        <v>0</v>
      </c>
      <c r="BB275">
        <v>1</v>
      </c>
      <c r="BC275">
        <v>5</v>
      </c>
      <c r="BD275">
        <v>3</v>
      </c>
      <c r="BE275">
        <v>1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1</v>
      </c>
      <c r="BN275">
        <v>5</v>
      </c>
      <c r="BO275">
        <v>47</v>
      </c>
      <c r="BP275">
        <v>39</v>
      </c>
      <c r="BQ275">
        <v>1</v>
      </c>
      <c r="BR275">
        <v>0</v>
      </c>
      <c r="BS275">
        <v>0</v>
      </c>
      <c r="BT275">
        <v>0</v>
      </c>
      <c r="BU275">
        <v>1</v>
      </c>
      <c r="BV275">
        <v>0</v>
      </c>
      <c r="BW275">
        <v>6</v>
      </c>
      <c r="BX275">
        <v>0</v>
      </c>
      <c r="BY275">
        <v>0</v>
      </c>
      <c r="BZ275">
        <v>47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2</v>
      </c>
      <c r="CZ275">
        <v>1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1</v>
      </c>
      <c r="DH275">
        <v>0</v>
      </c>
      <c r="DI275">
        <v>0</v>
      </c>
      <c r="DJ275">
        <v>2</v>
      </c>
      <c r="DK275">
        <v>4</v>
      </c>
      <c r="DL275">
        <v>1</v>
      </c>
      <c r="DM275">
        <v>1</v>
      </c>
      <c r="DN275">
        <v>1</v>
      </c>
      <c r="DO275">
        <v>0</v>
      </c>
      <c r="DP275">
        <v>0</v>
      </c>
      <c r="DQ275">
        <v>0</v>
      </c>
      <c r="DR275">
        <v>1</v>
      </c>
      <c r="DS275">
        <v>0</v>
      </c>
      <c r="DT275">
        <v>0</v>
      </c>
      <c r="DU275">
        <v>0</v>
      </c>
      <c r="DV275">
        <v>4</v>
      </c>
      <c r="DW275">
        <v>31</v>
      </c>
      <c r="DX275">
        <v>0</v>
      </c>
      <c r="DY275">
        <v>7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21</v>
      </c>
      <c r="EF275">
        <v>1</v>
      </c>
      <c r="EG275">
        <v>2</v>
      </c>
      <c r="EH275">
        <v>31</v>
      </c>
      <c r="EI275">
        <v>1</v>
      </c>
      <c r="EJ275">
        <v>0</v>
      </c>
      <c r="EK275">
        <v>1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1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</row>
    <row r="276" spans="1:172" ht="14.25">
      <c r="A276">
        <v>271</v>
      </c>
      <c r="B276" t="str">
        <f t="shared" si="50"/>
        <v>101207</v>
      </c>
      <c r="C276" t="str">
        <f t="shared" si="51"/>
        <v>Kodrąb</v>
      </c>
      <c r="D276" t="str">
        <f t="shared" si="48"/>
        <v>radomszczański</v>
      </c>
      <c r="E276" t="str">
        <f t="shared" si="49"/>
        <v>łódzkie</v>
      </c>
      <c r="F276">
        <v>4</v>
      </c>
      <c r="G276" t="str">
        <f>"Świetlica wiejska w Woli Malowanej, Wola Malowana 22, 97-512 Kodrąb"</f>
        <v>Świetlica wiejska w Woli Malowanej, Wola Malowana 22, 97-512 Kodrąb</v>
      </c>
      <c r="H276">
        <v>553</v>
      </c>
      <c r="I276">
        <v>553</v>
      </c>
      <c r="J276">
        <v>0</v>
      </c>
      <c r="K276">
        <v>390</v>
      </c>
      <c r="L276">
        <v>285</v>
      </c>
      <c r="M276">
        <v>105</v>
      </c>
      <c r="N276">
        <v>105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105</v>
      </c>
      <c r="Z276">
        <v>0</v>
      </c>
      <c r="AA276">
        <v>0</v>
      </c>
      <c r="AB276">
        <v>105</v>
      </c>
      <c r="AC276">
        <v>8</v>
      </c>
      <c r="AD276">
        <v>97</v>
      </c>
      <c r="AE276">
        <v>2</v>
      </c>
      <c r="AF276">
        <v>0</v>
      </c>
      <c r="AG276">
        <v>0</v>
      </c>
      <c r="AH276">
        <v>0</v>
      </c>
      <c r="AI276">
        <v>1</v>
      </c>
      <c r="AJ276">
        <v>0</v>
      </c>
      <c r="AK276">
        <v>1</v>
      </c>
      <c r="AL276">
        <v>0</v>
      </c>
      <c r="AM276">
        <v>0</v>
      </c>
      <c r="AN276">
        <v>0</v>
      </c>
      <c r="AO276">
        <v>0</v>
      </c>
      <c r="AP276">
        <v>2</v>
      </c>
      <c r="AQ276">
        <v>1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1</v>
      </c>
      <c r="BB276">
        <v>1</v>
      </c>
      <c r="BC276">
        <v>3</v>
      </c>
      <c r="BD276">
        <v>2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1</v>
      </c>
      <c r="BM276">
        <v>0</v>
      </c>
      <c r="BN276">
        <v>3</v>
      </c>
      <c r="BO276">
        <v>28</v>
      </c>
      <c r="BP276">
        <v>27</v>
      </c>
      <c r="BQ276">
        <v>0</v>
      </c>
      <c r="BR276">
        <v>0</v>
      </c>
      <c r="BS276">
        <v>1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28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1</v>
      </c>
      <c r="CZ276">
        <v>0</v>
      </c>
      <c r="DA276">
        <v>0</v>
      </c>
      <c r="DB276">
        <v>0</v>
      </c>
      <c r="DC276">
        <v>1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1</v>
      </c>
      <c r="DK276">
        <v>7</v>
      </c>
      <c r="DL276">
        <v>3</v>
      </c>
      <c r="DM276">
        <v>2</v>
      </c>
      <c r="DN276">
        <v>0</v>
      </c>
      <c r="DO276">
        <v>1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1</v>
      </c>
      <c r="DV276">
        <v>7</v>
      </c>
      <c r="DW276">
        <v>55</v>
      </c>
      <c r="DX276">
        <v>2</v>
      </c>
      <c r="DY276">
        <v>12</v>
      </c>
      <c r="DZ276">
        <v>0</v>
      </c>
      <c r="EA276">
        <v>0</v>
      </c>
      <c r="EB276">
        <v>3</v>
      </c>
      <c r="EC276">
        <v>0</v>
      </c>
      <c r="ED276">
        <v>0</v>
      </c>
      <c r="EE276">
        <v>38</v>
      </c>
      <c r="EF276">
        <v>0</v>
      </c>
      <c r="EG276">
        <v>0</v>
      </c>
      <c r="EH276">
        <v>55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</row>
    <row r="277" spans="1:172" ht="14.25">
      <c r="A277">
        <v>272</v>
      </c>
      <c r="B277" t="str">
        <f t="shared" si="50"/>
        <v>101207</v>
      </c>
      <c r="C277" t="str">
        <f t="shared" si="51"/>
        <v>Kodrąb</v>
      </c>
      <c r="D277" t="str">
        <f t="shared" si="48"/>
        <v>radomszczański</v>
      </c>
      <c r="E277" t="str">
        <f t="shared" si="49"/>
        <v>łódzkie</v>
      </c>
      <c r="F277">
        <v>5</v>
      </c>
      <c r="G277" t="str">
        <f>"Gminne Centrum Informacji w Dmeninie, Dmenin 124, 97-512 Kodrąb"</f>
        <v>Gminne Centrum Informacji w Dmeninie, Dmenin 124, 97-512 Kodrąb</v>
      </c>
      <c r="H277">
        <v>476</v>
      </c>
      <c r="I277">
        <v>476</v>
      </c>
      <c r="J277">
        <v>0</v>
      </c>
      <c r="K277">
        <v>330</v>
      </c>
      <c r="L277">
        <v>277</v>
      </c>
      <c r="M277">
        <v>53</v>
      </c>
      <c r="N277">
        <v>53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53</v>
      </c>
      <c r="Z277">
        <v>0</v>
      </c>
      <c r="AA277">
        <v>0</v>
      </c>
      <c r="AB277">
        <v>53</v>
      </c>
      <c r="AC277">
        <v>2</v>
      </c>
      <c r="AD277">
        <v>51</v>
      </c>
      <c r="AE277">
        <v>9</v>
      </c>
      <c r="AF277">
        <v>0</v>
      </c>
      <c r="AG277">
        <v>0</v>
      </c>
      <c r="AH277">
        <v>9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9</v>
      </c>
      <c r="AQ277">
        <v>1</v>
      </c>
      <c r="AR277">
        <v>1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1</v>
      </c>
      <c r="BC277">
        <v>4</v>
      </c>
      <c r="BD277">
        <v>4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4</v>
      </c>
      <c r="BO277">
        <v>16</v>
      </c>
      <c r="BP277">
        <v>12</v>
      </c>
      <c r="BQ277">
        <v>2</v>
      </c>
      <c r="BR277">
        <v>0</v>
      </c>
      <c r="BS277">
        <v>0</v>
      </c>
      <c r="BT277">
        <v>0</v>
      </c>
      <c r="BU277">
        <v>1</v>
      </c>
      <c r="BV277">
        <v>0</v>
      </c>
      <c r="BW277">
        <v>0</v>
      </c>
      <c r="BX277">
        <v>0</v>
      </c>
      <c r="BY277">
        <v>1</v>
      </c>
      <c r="BZ277">
        <v>16</v>
      </c>
      <c r="CA277">
        <v>1</v>
      </c>
      <c r="CB277">
        <v>1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1</v>
      </c>
      <c r="CM277">
        <v>1</v>
      </c>
      <c r="CN277">
        <v>1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1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6</v>
      </c>
      <c r="DL277">
        <v>3</v>
      </c>
      <c r="DM277">
        <v>2</v>
      </c>
      <c r="DN277">
        <v>0</v>
      </c>
      <c r="DO277">
        <v>0</v>
      </c>
      <c r="DP277">
        <v>1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6</v>
      </c>
      <c r="DW277">
        <v>12</v>
      </c>
      <c r="DX277">
        <v>2</v>
      </c>
      <c r="DY277">
        <v>7</v>
      </c>
      <c r="DZ277">
        <v>0</v>
      </c>
      <c r="EA277">
        <v>0</v>
      </c>
      <c r="EB277">
        <v>2</v>
      </c>
      <c r="EC277">
        <v>0</v>
      </c>
      <c r="ED277">
        <v>0</v>
      </c>
      <c r="EE277">
        <v>1</v>
      </c>
      <c r="EF277">
        <v>0</v>
      </c>
      <c r="EG277">
        <v>0</v>
      </c>
      <c r="EH277">
        <v>12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1</v>
      </c>
      <c r="ET277">
        <v>0</v>
      </c>
      <c r="EU277">
        <v>1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1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0</v>
      </c>
      <c r="FP277">
        <v>0</v>
      </c>
    </row>
    <row r="278" spans="1:172" ht="14.25">
      <c r="A278">
        <v>273</v>
      </c>
      <c r="B278" t="str">
        <f t="shared" si="50"/>
        <v>101207</v>
      </c>
      <c r="C278" t="str">
        <f t="shared" si="51"/>
        <v>Kodrąb</v>
      </c>
      <c r="D278" t="str">
        <f t="shared" si="48"/>
        <v>radomszczański</v>
      </c>
      <c r="E278" t="str">
        <f t="shared" si="49"/>
        <v>łódzkie</v>
      </c>
      <c r="F278">
        <v>6</v>
      </c>
      <c r="G278" t="str">
        <f>"Gminne Centrum Informacji w Dmeninie, Dmenin 124, 97-512 Kodrąb"</f>
        <v>Gminne Centrum Informacji w Dmeninie, Dmenin 124, 97-512 Kodrąb</v>
      </c>
      <c r="H278">
        <v>615</v>
      </c>
      <c r="I278">
        <v>615</v>
      </c>
      <c r="J278">
        <v>0</v>
      </c>
      <c r="K278">
        <v>440</v>
      </c>
      <c r="L278">
        <v>321</v>
      </c>
      <c r="M278">
        <v>119</v>
      </c>
      <c r="N278">
        <v>119</v>
      </c>
      <c r="O278">
        <v>0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119</v>
      </c>
      <c r="Z278">
        <v>0</v>
      </c>
      <c r="AA278">
        <v>0</v>
      </c>
      <c r="AB278">
        <v>119</v>
      </c>
      <c r="AC278">
        <v>5</v>
      </c>
      <c r="AD278">
        <v>114</v>
      </c>
      <c r="AE278">
        <v>3</v>
      </c>
      <c r="AF278">
        <v>0</v>
      </c>
      <c r="AG278">
        <v>0</v>
      </c>
      <c r="AH278">
        <v>1</v>
      </c>
      <c r="AI278">
        <v>0</v>
      </c>
      <c r="AJ278">
        <v>1</v>
      </c>
      <c r="AK278">
        <v>0</v>
      </c>
      <c r="AL278">
        <v>0</v>
      </c>
      <c r="AM278">
        <v>0</v>
      </c>
      <c r="AN278">
        <v>1</v>
      </c>
      <c r="AO278">
        <v>0</v>
      </c>
      <c r="AP278">
        <v>3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7</v>
      </c>
      <c r="BD278">
        <v>4</v>
      </c>
      <c r="BE278">
        <v>0</v>
      </c>
      <c r="BF278">
        <v>0</v>
      </c>
      <c r="BG278">
        <v>0</v>
      </c>
      <c r="BH278">
        <v>0</v>
      </c>
      <c r="BI278">
        <v>1</v>
      </c>
      <c r="BJ278">
        <v>1</v>
      </c>
      <c r="BK278">
        <v>0</v>
      </c>
      <c r="BL278">
        <v>1</v>
      </c>
      <c r="BM278">
        <v>0</v>
      </c>
      <c r="BN278">
        <v>7</v>
      </c>
      <c r="BO278">
        <v>45</v>
      </c>
      <c r="BP278">
        <v>38</v>
      </c>
      <c r="BQ278">
        <v>0</v>
      </c>
      <c r="BR278">
        <v>1</v>
      </c>
      <c r="BS278">
        <v>0</v>
      </c>
      <c r="BT278">
        <v>1</v>
      </c>
      <c r="BU278">
        <v>1</v>
      </c>
      <c r="BV278">
        <v>0</v>
      </c>
      <c r="BW278">
        <v>2</v>
      </c>
      <c r="BX278">
        <v>2</v>
      </c>
      <c r="BY278">
        <v>0</v>
      </c>
      <c r="BZ278">
        <v>45</v>
      </c>
      <c r="CA278">
        <v>1</v>
      </c>
      <c r="CB278">
        <v>1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1</v>
      </c>
      <c r="CN278">
        <v>1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1</v>
      </c>
      <c r="CY278">
        <v>7</v>
      </c>
      <c r="CZ278">
        <v>7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7</v>
      </c>
      <c r="DK278">
        <v>13</v>
      </c>
      <c r="DL278">
        <v>4</v>
      </c>
      <c r="DM278">
        <v>7</v>
      </c>
      <c r="DN278">
        <v>0</v>
      </c>
      <c r="DO278">
        <v>0</v>
      </c>
      <c r="DP278">
        <v>0</v>
      </c>
      <c r="DQ278">
        <v>0</v>
      </c>
      <c r="DR278">
        <v>1</v>
      </c>
      <c r="DS278">
        <v>1</v>
      </c>
      <c r="DT278">
        <v>0</v>
      </c>
      <c r="DU278">
        <v>0</v>
      </c>
      <c r="DV278">
        <v>13</v>
      </c>
      <c r="DW278">
        <v>36</v>
      </c>
      <c r="DX278">
        <v>4</v>
      </c>
      <c r="DY278">
        <v>18</v>
      </c>
      <c r="DZ278">
        <v>0</v>
      </c>
      <c r="EA278">
        <v>0</v>
      </c>
      <c r="EB278">
        <v>6</v>
      </c>
      <c r="EC278">
        <v>1</v>
      </c>
      <c r="ED278">
        <v>0</v>
      </c>
      <c r="EE278">
        <v>6</v>
      </c>
      <c r="EF278">
        <v>1</v>
      </c>
      <c r="EG278">
        <v>0</v>
      </c>
      <c r="EH278">
        <v>36</v>
      </c>
      <c r="EI278">
        <v>1</v>
      </c>
      <c r="EJ278">
        <v>0</v>
      </c>
      <c r="EK278">
        <v>1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1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</row>
    <row r="279" spans="1:172" ht="14.25">
      <c r="A279">
        <v>274</v>
      </c>
      <c r="B279" t="str">
        <f>"101208"</f>
        <v>101208</v>
      </c>
      <c r="C279" t="str">
        <f>"Lgota Wielka"</f>
        <v>Lgota Wielka</v>
      </c>
      <c r="D279" t="str">
        <f t="shared" si="48"/>
        <v>radomszczański</v>
      </c>
      <c r="E279" t="str">
        <f t="shared" si="49"/>
        <v>łódzkie</v>
      </c>
      <c r="F279">
        <v>1</v>
      </c>
      <c r="G279" t="str">
        <f>"Urząd Gminy w Lgocie Wielkiej, ul. Radomszczańska 60, 97-565 Lgota Wielka"</f>
        <v>Urząd Gminy w Lgocie Wielkiej, ul. Radomszczańska 60, 97-565 Lgota Wielka</v>
      </c>
      <c r="H279">
        <v>1447</v>
      </c>
      <c r="I279">
        <v>1447</v>
      </c>
      <c r="J279">
        <v>0</v>
      </c>
      <c r="K279">
        <v>1030</v>
      </c>
      <c r="L279">
        <v>775</v>
      </c>
      <c r="M279">
        <v>255</v>
      </c>
      <c r="N279">
        <v>255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255</v>
      </c>
      <c r="Z279">
        <v>0</v>
      </c>
      <c r="AA279">
        <v>0</v>
      </c>
      <c r="AB279">
        <v>255</v>
      </c>
      <c r="AC279">
        <v>16</v>
      </c>
      <c r="AD279">
        <v>239</v>
      </c>
      <c r="AE279">
        <v>11</v>
      </c>
      <c r="AF279">
        <v>4</v>
      </c>
      <c r="AG279">
        <v>0</v>
      </c>
      <c r="AH279">
        <v>6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1</v>
      </c>
      <c r="AO279">
        <v>0</v>
      </c>
      <c r="AP279">
        <v>11</v>
      </c>
      <c r="AQ279">
        <v>2</v>
      </c>
      <c r="AR279">
        <v>2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2</v>
      </c>
      <c r="BC279">
        <v>18</v>
      </c>
      <c r="BD279">
        <v>4</v>
      </c>
      <c r="BE279">
        <v>0</v>
      </c>
      <c r="BF279">
        <v>1</v>
      </c>
      <c r="BG279">
        <v>0</v>
      </c>
      <c r="BH279">
        <v>1</v>
      </c>
      <c r="BI279">
        <v>0</v>
      </c>
      <c r="BJ279">
        <v>8</v>
      </c>
      <c r="BK279">
        <v>0</v>
      </c>
      <c r="BL279">
        <v>3</v>
      </c>
      <c r="BM279">
        <v>1</v>
      </c>
      <c r="BN279">
        <v>18</v>
      </c>
      <c r="BO279">
        <v>103</v>
      </c>
      <c r="BP279">
        <v>93</v>
      </c>
      <c r="BQ279">
        <v>5</v>
      </c>
      <c r="BR279">
        <v>1</v>
      </c>
      <c r="BS279">
        <v>0</v>
      </c>
      <c r="BT279">
        <v>0</v>
      </c>
      <c r="BU279">
        <v>1</v>
      </c>
      <c r="BV279">
        <v>0</v>
      </c>
      <c r="BW279">
        <v>1</v>
      </c>
      <c r="BX279">
        <v>1</v>
      </c>
      <c r="BY279">
        <v>1</v>
      </c>
      <c r="BZ279">
        <v>103</v>
      </c>
      <c r="CA279">
        <v>8</v>
      </c>
      <c r="CB279">
        <v>4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3</v>
      </c>
      <c r="CJ279">
        <v>1</v>
      </c>
      <c r="CK279">
        <v>0</v>
      </c>
      <c r="CL279">
        <v>8</v>
      </c>
      <c r="CM279">
        <v>3</v>
      </c>
      <c r="CN279">
        <v>1</v>
      </c>
      <c r="CO279">
        <v>1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1</v>
      </c>
      <c r="CX279">
        <v>3</v>
      </c>
      <c r="CY279">
        <v>21</v>
      </c>
      <c r="CZ279">
        <v>15</v>
      </c>
      <c r="DA279">
        <v>0</v>
      </c>
      <c r="DB279">
        <v>0</v>
      </c>
      <c r="DC279">
        <v>2</v>
      </c>
      <c r="DD279">
        <v>0</v>
      </c>
      <c r="DE279">
        <v>1</v>
      </c>
      <c r="DF279">
        <v>0</v>
      </c>
      <c r="DG279">
        <v>3</v>
      </c>
      <c r="DH279">
        <v>0</v>
      </c>
      <c r="DI279">
        <v>0</v>
      </c>
      <c r="DJ279">
        <v>21</v>
      </c>
      <c r="DK279">
        <v>30</v>
      </c>
      <c r="DL279">
        <v>13</v>
      </c>
      <c r="DM279">
        <v>16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DT279">
        <v>0</v>
      </c>
      <c r="DU279">
        <v>1</v>
      </c>
      <c r="DV279">
        <v>30</v>
      </c>
      <c r="DW279">
        <v>42</v>
      </c>
      <c r="DX279">
        <v>8</v>
      </c>
      <c r="DY279">
        <v>19</v>
      </c>
      <c r="DZ279">
        <v>6</v>
      </c>
      <c r="EA279">
        <v>1</v>
      </c>
      <c r="EB279">
        <v>1</v>
      </c>
      <c r="EC279">
        <v>0</v>
      </c>
      <c r="ED279">
        <v>0</v>
      </c>
      <c r="EE279">
        <v>0</v>
      </c>
      <c r="EF279">
        <v>0</v>
      </c>
      <c r="EG279">
        <v>7</v>
      </c>
      <c r="EH279">
        <v>42</v>
      </c>
      <c r="EI279">
        <v>1</v>
      </c>
      <c r="EJ279">
        <v>1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1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</row>
    <row r="280" spans="1:172" ht="14.25">
      <c r="A280">
        <v>275</v>
      </c>
      <c r="B280" t="str">
        <f>"101208"</f>
        <v>101208</v>
      </c>
      <c r="C280" t="str">
        <f>"Lgota Wielka"</f>
        <v>Lgota Wielka</v>
      </c>
      <c r="D280" t="str">
        <f t="shared" si="48"/>
        <v>radomszczański</v>
      </c>
      <c r="E280" t="str">
        <f t="shared" si="49"/>
        <v>łódzkie</v>
      </c>
      <c r="F280">
        <v>2</v>
      </c>
      <c r="G280" t="str">
        <f>"Publiczna Szkoła Podstawowa w Woli Blakowej, Wola Blakowa 39, 97-565 Lgota Wielka"</f>
        <v>Publiczna Szkoła Podstawowa w Woli Blakowej, Wola Blakowa 39, 97-565 Lgota Wielka</v>
      </c>
      <c r="H280">
        <v>1032</v>
      </c>
      <c r="I280">
        <v>1032</v>
      </c>
      <c r="J280">
        <v>0</v>
      </c>
      <c r="K280">
        <v>730</v>
      </c>
      <c r="L280">
        <v>615</v>
      </c>
      <c r="M280">
        <v>115</v>
      </c>
      <c r="N280">
        <v>115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115</v>
      </c>
      <c r="Z280">
        <v>0</v>
      </c>
      <c r="AA280">
        <v>0</v>
      </c>
      <c r="AB280">
        <v>115</v>
      </c>
      <c r="AC280">
        <v>16</v>
      </c>
      <c r="AD280">
        <v>99</v>
      </c>
      <c r="AE280">
        <v>10</v>
      </c>
      <c r="AF280">
        <v>2</v>
      </c>
      <c r="AG280">
        <v>3</v>
      </c>
      <c r="AH280">
        <v>5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10</v>
      </c>
      <c r="AQ280">
        <v>3</v>
      </c>
      <c r="AR280">
        <v>0</v>
      </c>
      <c r="AS280">
        <v>0</v>
      </c>
      <c r="AT280">
        <v>1</v>
      </c>
      <c r="AU280">
        <v>0</v>
      </c>
      <c r="AV280">
        <v>0</v>
      </c>
      <c r="AW280">
        <v>0</v>
      </c>
      <c r="AX280">
        <v>0</v>
      </c>
      <c r="AY280">
        <v>2</v>
      </c>
      <c r="AZ280">
        <v>0</v>
      </c>
      <c r="BA280">
        <v>0</v>
      </c>
      <c r="BB280">
        <v>3</v>
      </c>
      <c r="BC280">
        <v>4</v>
      </c>
      <c r="BD280">
        <v>1</v>
      </c>
      <c r="BE280">
        <v>2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1</v>
      </c>
      <c r="BN280">
        <v>4</v>
      </c>
      <c r="BO280">
        <v>38</v>
      </c>
      <c r="BP280">
        <v>34</v>
      </c>
      <c r="BQ280">
        <v>3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1</v>
      </c>
      <c r="BZ280">
        <v>38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1</v>
      </c>
      <c r="CN280">
        <v>1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1</v>
      </c>
      <c r="CY280">
        <v>1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1</v>
      </c>
      <c r="DG280">
        <v>0</v>
      </c>
      <c r="DH280">
        <v>0</v>
      </c>
      <c r="DI280">
        <v>0</v>
      </c>
      <c r="DJ280">
        <v>1</v>
      </c>
      <c r="DK280">
        <v>16</v>
      </c>
      <c r="DL280">
        <v>8</v>
      </c>
      <c r="DM280">
        <v>8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DT280">
        <v>0</v>
      </c>
      <c r="DU280">
        <v>0</v>
      </c>
      <c r="DV280">
        <v>16</v>
      </c>
      <c r="DW280">
        <v>20</v>
      </c>
      <c r="DX280">
        <v>3</v>
      </c>
      <c r="DY280">
        <v>7</v>
      </c>
      <c r="DZ280">
        <v>0</v>
      </c>
      <c r="EA280">
        <v>0</v>
      </c>
      <c r="EB280">
        <v>4</v>
      </c>
      <c r="EC280">
        <v>0</v>
      </c>
      <c r="ED280">
        <v>1</v>
      </c>
      <c r="EE280">
        <v>4</v>
      </c>
      <c r="EF280">
        <v>0</v>
      </c>
      <c r="EG280">
        <v>1</v>
      </c>
      <c r="EH280">
        <v>20</v>
      </c>
      <c r="EI280">
        <v>2</v>
      </c>
      <c r="EJ280">
        <v>0</v>
      </c>
      <c r="EK280">
        <v>1</v>
      </c>
      <c r="EL280">
        <v>0</v>
      </c>
      <c r="EM280">
        <v>0</v>
      </c>
      <c r="EN280">
        <v>0</v>
      </c>
      <c r="EO280">
        <v>0</v>
      </c>
      <c r="EP280">
        <v>1</v>
      </c>
      <c r="EQ280">
        <v>0</v>
      </c>
      <c r="ER280">
        <v>2</v>
      </c>
      <c r="ES280">
        <v>2</v>
      </c>
      <c r="ET280">
        <v>0</v>
      </c>
      <c r="EU280">
        <v>0</v>
      </c>
      <c r="EV280">
        <v>1</v>
      </c>
      <c r="EW280">
        <v>0</v>
      </c>
      <c r="EX280">
        <v>0</v>
      </c>
      <c r="EY280">
        <v>0</v>
      </c>
      <c r="EZ280">
        <v>0</v>
      </c>
      <c r="FA280">
        <v>1</v>
      </c>
      <c r="FB280">
        <v>0</v>
      </c>
      <c r="FC280">
        <v>0</v>
      </c>
      <c r="FD280">
        <v>2</v>
      </c>
      <c r="FE280">
        <v>2</v>
      </c>
      <c r="FF280">
        <v>1</v>
      </c>
      <c r="FG280">
        <v>0</v>
      </c>
      <c r="FH280">
        <v>0</v>
      </c>
      <c r="FI280">
        <v>0</v>
      </c>
      <c r="FJ280">
        <v>1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2</v>
      </c>
    </row>
    <row r="281" spans="1:172" ht="14.25">
      <c r="A281">
        <v>276</v>
      </c>
      <c r="B281" t="str">
        <f>"101208"</f>
        <v>101208</v>
      </c>
      <c r="C281" t="str">
        <f>"Lgota Wielka"</f>
        <v>Lgota Wielka</v>
      </c>
      <c r="D281" t="str">
        <f t="shared" si="48"/>
        <v>radomszczański</v>
      </c>
      <c r="E281" t="str">
        <f t="shared" si="49"/>
        <v>łódzkie</v>
      </c>
      <c r="F281">
        <v>3</v>
      </c>
      <c r="G281" t="str">
        <f>"Publiczna Szkoła Podstawowa w Brudzicach, ul. Radomszczańska 1, Brudzice, 97-565 Lgota Wielka"</f>
        <v>Publiczna Szkoła Podstawowa w Brudzicach, ul. Radomszczańska 1, Brudzice, 97-565 Lgota Wielka</v>
      </c>
      <c r="H281">
        <v>598</v>
      </c>
      <c r="I281">
        <v>598</v>
      </c>
      <c r="J281">
        <v>0</v>
      </c>
      <c r="K281">
        <v>420</v>
      </c>
      <c r="L281">
        <v>327</v>
      </c>
      <c r="M281">
        <v>93</v>
      </c>
      <c r="N281">
        <v>93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93</v>
      </c>
      <c r="Z281">
        <v>0</v>
      </c>
      <c r="AA281">
        <v>0</v>
      </c>
      <c r="AB281">
        <v>93</v>
      </c>
      <c r="AC281">
        <v>1</v>
      </c>
      <c r="AD281">
        <v>92</v>
      </c>
      <c r="AE281">
        <v>6</v>
      </c>
      <c r="AF281">
        <v>2</v>
      </c>
      <c r="AG281">
        <v>0</v>
      </c>
      <c r="AH281">
        <v>4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6</v>
      </c>
      <c r="AQ281">
        <v>1</v>
      </c>
      <c r="AR281">
        <v>0</v>
      </c>
      <c r="AS281">
        <v>1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1</v>
      </c>
      <c r="BC281">
        <v>2</v>
      </c>
      <c r="BD281">
        <v>1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1</v>
      </c>
      <c r="BN281">
        <v>2</v>
      </c>
      <c r="BO281">
        <v>50</v>
      </c>
      <c r="BP281">
        <v>46</v>
      </c>
      <c r="BQ281">
        <v>0</v>
      </c>
      <c r="BR281">
        <v>0</v>
      </c>
      <c r="BS281">
        <v>1</v>
      </c>
      <c r="BT281">
        <v>2</v>
      </c>
      <c r="BU281">
        <v>0</v>
      </c>
      <c r="BV281">
        <v>0</v>
      </c>
      <c r="BW281">
        <v>0</v>
      </c>
      <c r="BX281">
        <v>1</v>
      </c>
      <c r="BY281">
        <v>0</v>
      </c>
      <c r="BZ281">
        <v>50</v>
      </c>
      <c r="CA281">
        <v>1</v>
      </c>
      <c r="CB281">
        <v>0</v>
      </c>
      <c r="CC281">
        <v>0</v>
      </c>
      <c r="CD281">
        <v>0</v>
      </c>
      <c r="CE281">
        <v>1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1</v>
      </c>
      <c r="CM281">
        <v>5</v>
      </c>
      <c r="CN281">
        <v>1</v>
      </c>
      <c r="CO281">
        <v>2</v>
      </c>
      <c r="CP281">
        <v>1</v>
      </c>
      <c r="CQ281">
        <v>0</v>
      </c>
      <c r="CR281">
        <v>0</v>
      </c>
      <c r="CS281">
        <v>0</v>
      </c>
      <c r="CT281">
        <v>0</v>
      </c>
      <c r="CU281">
        <v>1</v>
      </c>
      <c r="CV281">
        <v>0</v>
      </c>
      <c r="CW281">
        <v>0</v>
      </c>
      <c r="CX281">
        <v>5</v>
      </c>
      <c r="CY281">
        <v>12</v>
      </c>
      <c r="CZ281">
        <v>7</v>
      </c>
      <c r="DA281">
        <v>1</v>
      </c>
      <c r="DB281">
        <v>1</v>
      </c>
      <c r="DC281">
        <v>1</v>
      </c>
      <c r="DD281">
        <v>0</v>
      </c>
      <c r="DE281">
        <v>0</v>
      </c>
      <c r="DF281">
        <v>0</v>
      </c>
      <c r="DG281">
        <v>1</v>
      </c>
      <c r="DH281">
        <v>0</v>
      </c>
      <c r="DI281">
        <v>1</v>
      </c>
      <c r="DJ281">
        <v>12</v>
      </c>
      <c r="DK281">
        <v>5</v>
      </c>
      <c r="DL281">
        <v>2</v>
      </c>
      <c r="DM281">
        <v>3</v>
      </c>
      <c r="DN281">
        <v>0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5</v>
      </c>
      <c r="DW281">
        <v>9</v>
      </c>
      <c r="DX281">
        <v>0</v>
      </c>
      <c r="DY281">
        <v>3</v>
      </c>
      <c r="DZ281">
        <v>0</v>
      </c>
      <c r="EA281">
        <v>1</v>
      </c>
      <c r="EB281">
        <v>3</v>
      </c>
      <c r="EC281">
        <v>0</v>
      </c>
      <c r="ED281">
        <v>0</v>
      </c>
      <c r="EE281">
        <v>1</v>
      </c>
      <c r="EF281">
        <v>1</v>
      </c>
      <c r="EG281">
        <v>0</v>
      </c>
      <c r="EH281">
        <v>9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0</v>
      </c>
      <c r="EQ281">
        <v>0</v>
      </c>
      <c r="ER281">
        <v>0</v>
      </c>
      <c r="ES281">
        <v>1</v>
      </c>
      <c r="ET281">
        <v>1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1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</row>
    <row r="282" spans="1:172" ht="14.25">
      <c r="A282">
        <v>277</v>
      </c>
      <c r="B282" t="str">
        <f>"101208"</f>
        <v>101208</v>
      </c>
      <c r="C282" t="str">
        <f>"Lgota Wielka"</f>
        <v>Lgota Wielka</v>
      </c>
      <c r="D282" t="str">
        <f t="shared" si="48"/>
        <v>radomszczański</v>
      </c>
      <c r="E282" t="str">
        <f t="shared" si="49"/>
        <v>łódzkie</v>
      </c>
      <c r="F282">
        <v>4</v>
      </c>
      <c r="G282" t="str">
        <f>"Świetlica Wiejska w Krzywanicach, Krzywanice 142, 97-565 Lgota Wielka"</f>
        <v>Świetlica Wiejska w Krzywanicach, Krzywanice 142, 97-565 Lgota Wielka</v>
      </c>
      <c r="H282">
        <v>435</v>
      </c>
      <c r="I282">
        <v>435</v>
      </c>
      <c r="J282">
        <v>0</v>
      </c>
      <c r="K282">
        <v>310</v>
      </c>
      <c r="L282">
        <v>193</v>
      </c>
      <c r="M282">
        <v>117</v>
      </c>
      <c r="N282">
        <v>117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117</v>
      </c>
      <c r="Z282">
        <v>0</v>
      </c>
      <c r="AA282">
        <v>0</v>
      </c>
      <c r="AB282">
        <v>117</v>
      </c>
      <c r="AC282">
        <v>9</v>
      </c>
      <c r="AD282">
        <v>108</v>
      </c>
      <c r="AE282">
        <v>5</v>
      </c>
      <c r="AF282">
        <v>0</v>
      </c>
      <c r="AG282">
        <v>3</v>
      </c>
      <c r="AH282">
        <v>1</v>
      </c>
      <c r="AI282">
        <v>0</v>
      </c>
      <c r="AJ282">
        <v>0</v>
      </c>
      <c r="AK282">
        <v>0</v>
      </c>
      <c r="AL282">
        <v>1</v>
      </c>
      <c r="AM282">
        <v>0</v>
      </c>
      <c r="AN282">
        <v>0</v>
      </c>
      <c r="AO282">
        <v>0</v>
      </c>
      <c r="AP282">
        <v>5</v>
      </c>
      <c r="AQ282">
        <v>3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3</v>
      </c>
      <c r="AZ282">
        <v>0</v>
      </c>
      <c r="BA282">
        <v>0</v>
      </c>
      <c r="BB282">
        <v>3</v>
      </c>
      <c r="BC282">
        <v>4</v>
      </c>
      <c r="BD282">
        <v>1</v>
      </c>
      <c r="BE282">
        <v>0</v>
      </c>
      <c r="BF282">
        <v>1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2</v>
      </c>
      <c r="BN282">
        <v>4</v>
      </c>
      <c r="BO282">
        <v>47</v>
      </c>
      <c r="BP282">
        <v>40</v>
      </c>
      <c r="BQ282">
        <v>4</v>
      </c>
      <c r="BR282">
        <v>0</v>
      </c>
      <c r="BS282">
        <v>3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47</v>
      </c>
      <c r="CA282">
        <v>3</v>
      </c>
      <c r="CB282">
        <v>0</v>
      </c>
      <c r="CC282">
        <v>2</v>
      </c>
      <c r="CD282">
        <v>0</v>
      </c>
      <c r="CE282">
        <v>0</v>
      </c>
      <c r="CF282">
        <v>1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3</v>
      </c>
      <c r="CM282">
        <v>2</v>
      </c>
      <c r="CN282">
        <v>0</v>
      </c>
      <c r="CO282">
        <v>0</v>
      </c>
      <c r="CP282">
        <v>0</v>
      </c>
      <c r="CQ282">
        <v>0</v>
      </c>
      <c r="CR282">
        <v>2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2</v>
      </c>
      <c r="CY282">
        <v>5</v>
      </c>
      <c r="CZ282">
        <v>3</v>
      </c>
      <c r="DA282">
        <v>2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5</v>
      </c>
      <c r="DK282">
        <v>11</v>
      </c>
      <c r="DL282">
        <v>9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1</v>
      </c>
      <c r="DS282">
        <v>0</v>
      </c>
      <c r="DT282">
        <v>1</v>
      </c>
      <c r="DU282">
        <v>0</v>
      </c>
      <c r="DV282">
        <v>11</v>
      </c>
      <c r="DW282">
        <v>27</v>
      </c>
      <c r="DX282">
        <v>1</v>
      </c>
      <c r="DY282">
        <v>12</v>
      </c>
      <c r="DZ282">
        <v>0</v>
      </c>
      <c r="EA282">
        <v>0</v>
      </c>
      <c r="EB282">
        <v>0</v>
      </c>
      <c r="EC282">
        <v>0</v>
      </c>
      <c r="ED282">
        <v>2</v>
      </c>
      <c r="EE282">
        <v>12</v>
      </c>
      <c r="EF282">
        <v>0</v>
      </c>
      <c r="EG282">
        <v>0</v>
      </c>
      <c r="EH282">
        <v>27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1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1</v>
      </c>
      <c r="FM282">
        <v>0</v>
      </c>
      <c r="FN282">
        <v>0</v>
      </c>
      <c r="FO282">
        <v>0</v>
      </c>
      <c r="FP282">
        <v>1</v>
      </c>
    </row>
    <row r="283" spans="1:172" ht="14.25">
      <c r="A283">
        <v>278</v>
      </c>
      <c r="B283" t="str">
        <f>"101209"</f>
        <v>101209</v>
      </c>
      <c r="C283" t="str">
        <f>"Ładzice"</f>
        <v>Ładzice</v>
      </c>
      <c r="D283" t="str">
        <f t="shared" si="48"/>
        <v>radomszczański</v>
      </c>
      <c r="E283" t="str">
        <f t="shared" si="49"/>
        <v>łódzkie</v>
      </c>
      <c r="F283">
        <v>1</v>
      </c>
      <c r="G283" t="str">
        <f>"Publiczna Szkoła Podstawowa w Jedlnie, Jedlno Pierwsze 33A, 97-561 Ładzice"</f>
        <v>Publiczna Szkoła Podstawowa w Jedlnie, Jedlno Pierwsze 33A, 97-561 Ładzice</v>
      </c>
      <c r="H283">
        <v>1383</v>
      </c>
      <c r="I283">
        <v>1383</v>
      </c>
      <c r="J283">
        <v>0</v>
      </c>
      <c r="K283">
        <v>970</v>
      </c>
      <c r="L283">
        <v>825</v>
      </c>
      <c r="M283">
        <v>145</v>
      </c>
      <c r="N283">
        <v>145</v>
      </c>
      <c r="O283">
        <v>0</v>
      </c>
      <c r="P283">
        <v>0</v>
      </c>
      <c r="Q283">
        <v>2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145</v>
      </c>
      <c r="Z283">
        <v>0</v>
      </c>
      <c r="AA283">
        <v>0</v>
      </c>
      <c r="AB283">
        <v>145</v>
      </c>
      <c r="AC283">
        <v>2</v>
      </c>
      <c r="AD283">
        <v>143</v>
      </c>
      <c r="AE283">
        <v>13</v>
      </c>
      <c r="AF283">
        <v>4</v>
      </c>
      <c r="AG283">
        <v>0</v>
      </c>
      <c r="AH283">
        <v>7</v>
      </c>
      <c r="AI283">
        <v>0</v>
      </c>
      <c r="AJ283">
        <v>0</v>
      </c>
      <c r="AK283">
        <v>0</v>
      </c>
      <c r="AL283">
        <v>0</v>
      </c>
      <c r="AM283">
        <v>2</v>
      </c>
      <c r="AN283">
        <v>0</v>
      </c>
      <c r="AO283">
        <v>0</v>
      </c>
      <c r="AP283">
        <v>13</v>
      </c>
      <c r="AQ283">
        <v>2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1</v>
      </c>
      <c r="AZ283">
        <v>1</v>
      </c>
      <c r="BA283">
        <v>0</v>
      </c>
      <c r="BB283">
        <v>2</v>
      </c>
      <c r="BC283">
        <v>8</v>
      </c>
      <c r="BD283">
        <v>6</v>
      </c>
      <c r="BE283">
        <v>0</v>
      </c>
      <c r="BF283">
        <v>1</v>
      </c>
      <c r="BG283">
        <v>0</v>
      </c>
      <c r="BH283">
        <v>0</v>
      </c>
      <c r="BI283">
        <v>1</v>
      </c>
      <c r="BJ283">
        <v>0</v>
      </c>
      <c r="BK283">
        <v>0</v>
      </c>
      <c r="BL283">
        <v>0</v>
      </c>
      <c r="BM283">
        <v>0</v>
      </c>
      <c r="BN283">
        <v>8</v>
      </c>
      <c r="BO283">
        <v>71</v>
      </c>
      <c r="BP283">
        <v>61</v>
      </c>
      <c r="BQ283">
        <v>2</v>
      </c>
      <c r="BR283">
        <v>3</v>
      </c>
      <c r="BS283">
        <v>4</v>
      </c>
      <c r="BT283">
        <v>0</v>
      </c>
      <c r="BU283">
        <v>0</v>
      </c>
      <c r="BV283">
        <v>0</v>
      </c>
      <c r="BW283">
        <v>0</v>
      </c>
      <c r="BX283">
        <v>1</v>
      </c>
      <c r="BY283">
        <v>0</v>
      </c>
      <c r="BZ283">
        <v>71</v>
      </c>
      <c r="CA283">
        <v>6</v>
      </c>
      <c r="CB283">
        <v>3</v>
      </c>
      <c r="CC283">
        <v>0</v>
      </c>
      <c r="CD283">
        <v>1</v>
      </c>
      <c r="CE283">
        <v>1</v>
      </c>
      <c r="CF283">
        <v>0</v>
      </c>
      <c r="CG283">
        <v>0</v>
      </c>
      <c r="CH283">
        <v>0</v>
      </c>
      <c r="CI283">
        <v>1</v>
      </c>
      <c r="CJ283">
        <v>0</v>
      </c>
      <c r="CK283">
        <v>0</v>
      </c>
      <c r="CL283">
        <v>6</v>
      </c>
      <c r="CM283">
        <v>3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3</v>
      </c>
      <c r="CU283">
        <v>0</v>
      </c>
      <c r="CV283">
        <v>0</v>
      </c>
      <c r="CW283">
        <v>0</v>
      </c>
      <c r="CX283">
        <v>3</v>
      </c>
      <c r="CY283">
        <v>7</v>
      </c>
      <c r="CZ283">
        <v>6</v>
      </c>
      <c r="DA283">
        <v>0</v>
      </c>
      <c r="DB283">
        <v>0</v>
      </c>
      <c r="DC283">
        <v>0</v>
      </c>
      <c r="DD283">
        <v>0</v>
      </c>
      <c r="DE283">
        <v>1</v>
      </c>
      <c r="DF283">
        <v>0</v>
      </c>
      <c r="DG283">
        <v>0</v>
      </c>
      <c r="DH283">
        <v>0</v>
      </c>
      <c r="DI283">
        <v>0</v>
      </c>
      <c r="DJ283">
        <v>7</v>
      </c>
      <c r="DK283">
        <v>21</v>
      </c>
      <c r="DL283">
        <v>15</v>
      </c>
      <c r="DM283">
        <v>6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21</v>
      </c>
      <c r="DW283">
        <v>8</v>
      </c>
      <c r="DX283">
        <v>5</v>
      </c>
      <c r="DY283">
        <v>1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1</v>
      </c>
      <c r="EG283">
        <v>1</v>
      </c>
      <c r="EH283">
        <v>8</v>
      </c>
      <c r="EI283">
        <v>2</v>
      </c>
      <c r="EJ283">
        <v>0</v>
      </c>
      <c r="EK283">
        <v>2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2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2</v>
      </c>
      <c r="FF283">
        <v>0</v>
      </c>
      <c r="FG283">
        <v>0</v>
      </c>
      <c r="FH283">
        <v>1</v>
      </c>
      <c r="FI283">
        <v>1</v>
      </c>
      <c r="FJ283">
        <v>0</v>
      </c>
      <c r="FK283">
        <v>0</v>
      </c>
      <c r="FL283">
        <v>0</v>
      </c>
      <c r="FM283">
        <v>0</v>
      </c>
      <c r="FN283">
        <v>0</v>
      </c>
      <c r="FO283">
        <v>0</v>
      </c>
      <c r="FP283">
        <v>2</v>
      </c>
    </row>
    <row r="284" spans="1:172" ht="14.25">
      <c r="A284">
        <v>279</v>
      </c>
      <c r="B284" t="str">
        <f>"101209"</f>
        <v>101209</v>
      </c>
      <c r="C284" t="str">
        <f>"Ładzice"</f>
        <v>Ładzice</v>
      </c>
      <c r="D284" t="str">
        <f t="shared" si="48"/>
        <v>radomszczański</v>
      </c>
      <c r="E284" t="str">
        <f t="shared" si="49"/>
        <v>łódzkie</v>
      </c>
      <c r="F284">
        <v>2</v>
      </c>
      <c r="G284" t="str">
        <f>"Zespół Szkolno-Przedszkolny w Stobiecku Szlacheckim, Stobiecko Szlacheckie 24A, 97-561 Ładzice"</f>
        <v>Zespół Szkolno-Przedszkolny w Stobiecku Szlacheckim, Stobiecko Szlacheckie 24A, 97-561 Ładzice</v>
      </c>
      <c r="H284">
        <v>1196</v>
      </c>
      <c r="I284">
        <v>1196</v>
      </c>
      <c r="J284">
        <v>0</v>
      </c>
      <c r="K284">
        <v>849</v>
      </c>
      <c r="L284">
        <v>701</v>
      </c>
      <c r="M284">
        <v>148</v>
      </c>
      <c r="N284">
        <v>148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147</v>
      </c>
      <c r="Z284">
        <v>0</v>
      </c>
      <c r="AA284">
        <v>0</v>
      </c>
      <c r="AB284">
        <v>147</v>
      </c>
      <c r="AC284">
        <v>7</v>
      </c>
      <c r="AD284">
        <v>140</v>
      </c>
      <c r="AE284">
        <v>10</v>
      </c>
      <c r="AF284">
        <v>0</v>
      </c>
      <c r="AG284">
        <v>0</v>
      </c>
      <c r="AH284">
        <v>9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1</v>
      </c>
      <c r="AP284">
        <v>10</v>
      </c>
      <c r="AQ284">
        <v>13</v>
      </c>
      <c r="AR284">
        <v>2</v>
      </c>
      <c r="AS284">
        <v>1</v>
      </c>
      <c r="AT284">
        <v>4</v>
      </c>
      <c r="AU284">
        <v>0</v>
      </c>
      <c r="AV284">
        <v>1</v>
      </c>
      <c r="AW284">
        <v>0</v>
      </c>
      <c r="AX284">
        <v>1</v>
      </c>
      <c r="AY284">
        <v>1</v>
      </c>
      <c r="AZ284">
        <v>2</v>
      </c>
      <c r="BA284">
        <v>1</v>
      </c>
      <c r="BB284">
        <v>13</v>
      </c>
      <c r="BC284">
        <v>12</v>
      </c>
      <c r="BD284">
        <v>4</v>
      </c>
      <c r="BE284">
        <v>2</v>
      </c>
      <c r="BF284">
        <v>3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3</v>
      </c>
      <c r="BN284">
        <v>12</v>
      </c>
      <c r="BO284">
        <v>61</v>
      </c>
      <c r="BP284">
        <v>56</v>
      </c>
      <c r="BQ284">
        <v>2</v>
      </c>
      <c r="BR284">
        <v>0</v>
      </c>
      <c r="BS284">
        <v>1</v>
      </c>
      <c r="BT284">
        <v>0</v>
      </c>
      <c r="BU284">
        <v>0</v>
      </c>
      <c r="BV284">
        <v>0</v>
      </c>
      <c r="BW284">
        <v>1</v>
      </c>
      <c r="BX284">
        <v>0</v>
      </c>
      <c r="BY284">
        <v>1</v>
      </c>
      <c r="BZ284">
        <v>61</v>
      </c>
      <c r="CA284">
        <v>1</v>
      </c>
      <c r="CB284">
        <v>0</v>
      </c>
      <c r="CC284">
        <v>1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1</v>
      </c>
      <c r="CM284">
        <v>2</v>
      </c>
      <c r="CN284">
        <v>2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2</v>
      </c>
      <c r="CY284">
        <v>6</v>
      </c>
      <c r="CZ284">
        <v>2</v>
      </c>
      <c r="DA284">
        <v>1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1</v>
      </c>
      <c r="DH284">
        <v>2</v>
      </c>
      <c r="DI284">
        <v>0</v>
      </c>
      <c r="DJ284">
        <v>6</v>
      </c>
      <c r="DK284">
        <v>33</v>
      </c>
      <c r="DL284">
        <v>19</v>
      </c>
      <c r="DM284">
        <v>11</v>
      </c>
      <c r="DN284">
        <v>0</v>
      </c>
      <c r="DO284">
        <v>0</v>
      </c>
      <c r="DP284">
        <v>0</v>
      </c>
      <c r="DQ284">
        <v>1</v>
      </c>
      <c r="DR284">
        <v>2</v>
      </c>
      <c r="DS284">
        <v>0</v>
      </c>
      <c r="DT284">
        <v>0</v>
      </c>
      <c r="DU284">
        <v>0</v>
      </c>
      <c r="DV284">
        <v>33</v>
      </c>
      <c r="DW284">
        <v>2</v>
      </c>
      <c r="DX284">
        <v>0</v>
      </c>
      <c r="DY284">
        <v>2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2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</row>
    <row r="285" spans="1:172" ht="14.25">
      <c r="A285">
        <v>280</v>
      </c>
      <c r="B285" t="str">
        <f>"101209"</f>
        <v>101209</v>
      </c>
      <c r="C285" t="str">
        <f>"Ładzice"</f>
        <v>Ładzice</v>
      </c>
      <c r="D285" t="str">
        <f t="shared" si="48"/>
        <v>radomszczański</v>
      </c>
      <c r="E285" t="str">
        <f t="shared" si="49"/>
        <v>łódzkie</v>
      </c>
      <c r="F285">
        <v>3</v>
      </c>
      <c r="G285" t="str">
        <f>"Publiczne Gimnazjum w Radziechowicach, Radziechowice Drugie 170, 97-561 Ładzice"</f>
        <v>Publiczne Gimnazjum w Radziechowicach, Radziechowice Drugie 170, 97-561 Ładzice</v>
      </c>
      <c r="H285">
        <v>844</v>
      </c>
      <c r="I285">
        <v>844</v>
      </c>
      <c r="J285">
        <v>0</v>
      </c>
      <c r="K285">
        <v>590</v>
      </c>
      <c r="L285">
        <v>456</v>
      </c>
      <c r="M285">
        <v>134</v>
      </c>
      <c r="N285">
        <v>134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134</v>
      </c>
      <c r="Z285">
        <v>0</v>
      </c>
      <c r="AA285">
        <v>0</v>
      </c>
      <c r="AB285">
        <v>134</v>
      </c>
      <c r="AC285">
        <v>5</v>
      </c>
      <c r="AD285">
        <v>129</v>
      </c>
      <c r="AE285">
        <v>3</v>
      </c>
      <c r="AF285">
        <v>0</v>
      </c>
      <c r="AG285">
        <v>0</v>
      </c>
      <c r="AH285">
        <v>1</v>
      </c>
      <c r="AI285">
        <v>0</v>
      </c>
      <c r="AJ285">
        <v>0</v>
      </c>
      <c r="AK285">
        <v>1</v>
      </c>
      <c r="AL285">
        <v>0</v>
      </c>
      <c r="AM285">
        <v>1</v>
      </c>
      <c r="AN285">
        <v>0</v>
      </c>
      <c r="AO285">
        <v>0</v>
      </c>
      <c r="AP285">
        <v>3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6</v>
      </c>
      <c r="BD285">
        <v>0</v>
      </c>
      <c r="BE285">
        <v>0</v>
      </c>
      <c r="BF285">
        <v>3</v>
      </c>
      <c r="BG285">
        <v>0</v>
      </c>
      <c r="BH285">
        <v>0</v>
      </c>
      <c r="BI285">
        <v>1</v>
      </c>
      <c r="BJ285">
        <v>1</v>
      </c>
      <c r="BK285">
        <v>0</v>
      </c>
      <c r="BL285">
        <v>0</v>
      </c>
      <c r="BM285">
        <v>1</v>
      </c>
      <c r="BN285">
        <v>6</v>
      </c>
      <c r="BO285">
        <v>52</v>
      </c>
      <c r="BP285">
        <v>51</v>
      </c>
      <c r="BQ285">
        <v>0</v>
      </c>
      <c r="BR285">
        <v>0</v>
      </c>
      <c r="BS285">
        <v>1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52</v>
      </c>
      <c r="CA285">
        <v>1</v>
      </c>
      <c r="CB285">
        <v>0</v>
      </c>
      <c r="CC285">
        <v>1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1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1</v>
      </c>
      <c r="CZ285">
        <v>1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1</v>
      </c>
      <c r="DK285">
        <v>28</v>
      </c>
      <c r="DL285">
        <v>10</v>
      </c>
      <c r="DM285">
        <v>18</v>
      </c>
      <c r="DN285">
        <v>0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28</v>
      </c>
      <c r="DW285">
        <v>36</v>
      </c>
      <c r="DX285">
        <v>5</v>
      </c>
      <c r="DY285">
        <v>13</v>
      </c>
      <c r="DZ285">
        <v>0</v>
      </c>
      <c r="EA285">
        <v>1</v>
      </c>
      <c r="EB285">
        <v>4</v>
      </c>
      <c r="EC285">
        <v>13</v>
      </c>
      <c r="ED285">
        <v>0</v>
      </c>
      <c r="EE285">
        <v>0</v>
      </c>
      <c r="EF285">
        <v>0</v>
      </c>
      <c r="EG285">
        <v>0</v>
      </c>
      <c r="EH285">
        <v>36</v>
      </c>
      <c r="EI285">
        <v>2</v>
      </c>
      <c r="EJ285">
        <v>0</v>
      </c>
      <c r="EK285">
        <v>2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2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0</v>
      </c>
    </row>
    <row r="286" spans="1:172" ht="14.25">
      <c r="A286">
        <v>281</v>
      </c>
      <c r="B286" t="str">
        <f>"101209"</f>
        <v>101209</v>
      </c>
      <c r="C286" t="str">
        <f>"Ładzice"</f>
        <v>Ładzice</v>
      </c>
      <c r="D286" t="str">
        <f t="shared" si="48"/>
        <v>radomszczański</v>
      </c>
      <c r="E286" t="str">
        <f t="shared" si="49"/>
        <v>łódzkie</v>
      </c>
      <c r="F286">
        <v>4</v>
      </c>
      <c r="G286" t="str">
        <f>"Urząd Gminy Ładzice, ul. Wyzwolenia 36, 97-561 Ładzice"</f>
        <v>Urząd Gminy Ładzice, ul. Wyzwolenia 36, 97-561 Ładzice</v>
      </c>
      <c r="H286">
        <v>384</v>
      </c>
      <c r="I286">
        <v>384</v>
      </c>
      <c r="J286">
        <v>0</v>
      </c>
      <c r="K286">
        <v>270</v>
      </c>
      <c r="L286">
        <v>185</v>
      </c>
      <c r="M286">
        <v>85</v>
      </c>
      <c r="N286">
        <v>85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85</v>
      </c>
      <c r="Z286">
        <v>0</v>
      </c>
      <c r="AA286">
        <v>0</v>
      </c>
      <c r="AB286">
        <v>85</v>
      </c>
      <c r="AC286">
        <v>4</v>
      </c>
      <c r="AD286">
        <v>81</v>
      </c>
      <c r="AE286">
        <v>1</v>
      </c>
      <c r="AF286">
        <v>0</v>
      </c>
      <c r="AG286">
        <v>0</v>
      </c>
      <c r="AH286">
        <v>1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4</v>
      </c>
      <c r="BD286">
        <v>1</v>
      </c>
      <c r="BE286">
        <v>0</v>
      </c>
      <c r="BF286">
        <v>0</v>
      </c>
      <c r="BG286">
        <v>0</v>
      </c>
      <c r="BH286">
        <v>0</v>
      </c>
      <c r="BI286">
        <v>1</v>
      </c>
      <c r="BJ286">
        <v>1</v>
      </c>
      <c r="BK286">
        <v>0</v>
      </c>
      <c r="BL286">
        <v>0</v>
      </c>
      <c r="BM286">
        <v>1</v>
      </c>
      <c r="BN286">
        <v>4</v>
      </c>
      <c r="BO286">
        <v>48</v>
      </c>
      <c r="BP286">
        <v>42</v>
      </c>
      <c r="BQ286">
        <v>2</v>
      </c>
      <c r="BR286">
        <v>2</v>
      </c>
      <c r="BS286">
        <v>2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48</v>
      </c>
      <c r="CA286">
        <v>1</v>
      </c>
      <c r="CB286">
        <v>0</v>
      </c>
      <c r="CC286">
        <v>0</v>
      </c>
      <c r="CD286">
        <v>0</v>
      </c>
      <c r="CE286">
        <v>1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1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3</v>
      </c>
      <c r="CZ286">
        <v>2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1</v>
      </c>
      <c r="DI286">
        <v>0</v>
      </c>
      <c r="DJ286">
        <v>3</v>
      </c>
      <c r="DK286">
        <v>19</v>
      </c>
      <c r="DL286">
        <v>11</v>
      </c>
      <c r="DM286">
        <v>7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1</v>
      </c>
      <c r="DT286">
        <v>0</v>
      </c>
      <c r="DU286">
        <v>0</v>
      </c>
      <c r="DV286">
        <v>19</v>
      </c>
      <c r="DW286">
        <v>4</v>
      </c>
      <c r="DX286">
        <v>0</v>
      </c>
      <c r="DY286">
        <v>2</v>
      </c>
      <c r="DZ286">
        <v>0</v>
      </c>
      <c r="EA286">
        <v>1</v>
      </c>
      <c r="EB286">
        <v>0</v>
      </c>
      <c r="EC286">
        <v>0</v>
      </c>
      <c r="ED286">
        <v>0</v>
      </c>
      <c r="EE286">
        <v>1</v>
      </c>
      <c r="EF286">
        <v>0</v>
      </c>
      <c r="EG286">
        <v>0</v>
      </c>
      <c r="EH286">
        <v>4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1</v>
      </c>
      <c r="ET286">
        <v>0</v>
      </c>
      <c r="EU286">
        <v>1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1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</row>
    <row r="287" spans="1:172" ht="14.25">
      <c r="A287">
        <v>282</v>
      </c>
      <c r="B287" t="str">
        <f>"101209"</f>
        <v>101209</v>
      </c>
      <c r="C287" t="str">
        <f>"Ładzice"</f>
        <v>Ładzice</v>
      </c>
      <c r="D287" t="str">
        <f t="shared" si="48"/>
        <v>radomszczański</v>
      </c>
      <c r="E287" t="str">
        <f t="shared" si="49"/>
        <v>łódzkie</v>
      </c>
      <c r="F287">
        <v>5</v>
      </c>
      <c r="G287" t="str">
        <f>"Dom Pomocy Społecznej w Radziechowicach Pierwszych, Radziechowice Pierwsze 2, 97-561 Ładzice"</f>
        <v>Dom Pomocy Społecznej w Radziechowicach Pierwszych, Radziechowice Pierwsze 2, 97-561 Ładzice</v>
      </c>
      <c r="H287">
        <v>81</v>
      </c>
      <c r="I287">
        <v>81</v>
      </c>
      <c r="J287">
        <v>0</v>
      </c>
      <c r="K287">
        <v>77</v>
      </c>
      <c r="L287">
        <v>54</v>
      </c>
      <c r="M287">
        <v>23</v>
      </c>
      <c r="N287">
        <v>23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23</v>
      </c>
      <c r="Z287">
        <v>0</v>
      </c>
      <c r="AA287">
        <v>0</v>
      </c>
      <c r="AB287">
        <v>23</v>
      </c>
      <c r="AC287">
        <v>4</v>
      </c>
      <c r="AD287">
        <v>19</v>
      </c>
      <c r="AE287">
        <v>13</v>
      </c>
      <c r="AF287">
        <v>3</v>
      </c>
      <c r="AG287">
        <v>0</v>
      </c>
      <c r="AH287">
        <v>2</v>
      </c>
      <c r="AI287">
        <v>1</v>
      </c>
      <c r="AJ287">
        <v>3</v>
      </c>
      <c r="AK287">
        <v>2</v>
      </c>
      <c r="AL287">
        <v>0</v>
      </c>
      <c r="AM287">
        <v>1</v>
      </c>
      <c r="AN287">
        <v>0</v>
      </c>
      <c r="AO287">
        <v>1</v>
      </c>
      <c r="AP287">
        <v>13</v>
      </c>
      <c r="AQ287">
        <v>1</v>
      </c>
      <c r="AR287">
        <v>0</v>
      </c>
      <c r="AS287">
        <v>0</v>
      </c>
      <c r="AT287">
        <v>0</v>
      </c>
      <c r="AU287">
        <v>0</v>
      </c>
      <c r="AV287">
        <v>1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1</v>
      </c>
      <c r="BC287">
        <v>2</v>
      </c>
      <c r="BD287">
        <v>0</v>
      </c>
      <c r="BE287">
        <v>0</v>
      </c>
      <c r="BF287">
        <v>0</v>
      </c>
      <c r="BG287">
        <v>1</v>
      </c>
      <c r="BH287">
        <v>0</v>
      </c>
      <c r="BI287">
        <v>0</v>
      </c>
      <c r="BJ287">
        <v>0</v>
      </c>
      <c r="BK287">
        <v>0</v>
      </c>
      <c r="BL287">
        <v>1</v>
      </c>
      <c r="BM287">
        <v>0</v>
      </c>
      <c r="BN287">
        <v>2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2</v>
      </c>
      <c r="DL287">
        <v>0</v>
      </c>
      <c r="DM287">
        <v>1</v>
      </c>
      <c r="DN287">
        <v>0</v>
      </c>
      <c r="DO287">
        <v>1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2</v>
      </c>
      <c r="DW287">
        <v>1</v>
      </c>
      <c r="DX287">
        <v>0</v>
      </c>
      <c r="DY287">
        <v>0</v>
      </c>
      <c r="DZ287">
        <v>0</v>
      </c>
      <c r="EA287">
        <v>0</v>
      </c>
      <c r="EB287">
        <v>1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1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</row>
    <row r="288" spans="1:172" ht="14.25">
      <c r="A288">
        <v>283</v>
      </c>
      <c r="B288" t="str">
        <f>"101210"</f>
        <v>101210</v>
      </c>
      <c r="C288" t="str">
        <f>"Masłowice"</f>
        <v>Masłowice</v>
      </c>
      <c r="D288" t="str">
        <f t="shared" si="48"/>
        <v>radomszczański</v>
      </c>
      <c r="E288" t="str">
        <f t="shared" si="49"/>
        <v>łódzkie</v>
      </c>
      <c r="F288">
        <v>1</v>
      </c>
      <c r="G288" t="str">
        <f>"Szkoła Podstawowa w Strzelcach Małych, Strzelce Małe 33, 97-515 Masłowice"</f>
        <v>Szkoła Podstawowa w Strzelcach Małych, Strzelce Małe 33, 97-515 Masłowice</v>
      </c>
      <c r="H288">
        <v>929</v>
      </c>
      <c r="I288">
        <v>929</v>
      </c>
      <c r="J288">
        <v>0</v>
      </c>
      <c r="K288">
        <v>650</v>
      </c>
      <c r="L288">
        <v>498</v>
      </c>
      <c r="M288">
        <v>152</v>
      </c>
      <c r="N288">
        <v>152</v>
      </c>
      <c r="O288">
        <v>0</v>
      </c>
      <c r="P288">
        <v>0</v>
      </c>
      <c r="Q288">
        <v>1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152</v>
      </c>
      <c r="Z288">
        <v>0</v>
      </c>
      <c r="AA288">
        <v>0</v>
      </c>
      <c r="AB288">
        <v>152</v>
      </c>
      <c r="AC288">
        <v>6</v>
      </c>
      <c r="AD288">
        <v>146</v>
      </c>
      <c r="AE288">
        <v>1</v>
      </c>
      <c r="AF288">
        <v>1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1</v>
      </c>
      <c r="AQ288">
        <v>2</v>
      </c>
      <c r="AR288">
        <v>2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2</v>
      </c>
      <c r="BC288">
        <v>15</v>
      </c>
      <c r="BD288">
        <v>12</v>
      </c>
      <c r="BE288">
        <v>1</v>
      </c>
      <c r="BF288">
        <v>0</v>
      </c>
      <c r="BG288">
        <v>0</v>
      </c>
      <c r="BH288">
        <v>1</v>
      </c>
      <c r="BI288">
        <v>0</v>
      </c>
      <c r="BJ288">
        <v>1</v>
      </c>
      <c r="BK288">
        <v>0</v>
      </c>
      <c r="BL288">
        <v>0</v>
      </c>
      <c r="BM288">
        <v>0</v>
      </c>
      <c r="BN288">
        <v>15</v>
      </c>
      <c r="BO288">
        <v>73</v>
      </c>
      <c r="BP288">
        <v>69</v>
      </c>
      <c r="BQ288">
        <v>0</v>
      </c>
      <c r="BR288">
        <v>0</v>
      </c>
      <c r="BS288">
        <v>1</v>
      </c>
      <c r="BT288">
        <v>0</v>
      </c>
      <c r="BU288">
        <v>2</v>
      </c>
      <c r="BV288">
        <v>1</v>
      </c>
      <c r="BW288">
        <v>0</v>
      </c>
      <c r="BX288">
        <v>0</v>
      </c>
      <c r="BY288">
        <v>0</v>
      </c>
      <c r="BZ288">
        <v>73</v>
      </c>
      <c r="CA288">
        <v>2</v>
      </c>
      <c r="CB288">
        <v>1</v>
      </c>
      <c r="CC288">
        <v>1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2</v>
      </c>
      <c r="CM288">
        <v>3</v>
      </c>
      <c r="CN288">
        <v>2</v>
      </c>
      <c r="CO288">
        <v>0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3</v>
      </c>
      <c r="CY288">
        <v>4</v>
      </c>
      <c r="CZ288">
        <v>4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4</v>
      </c>
      <c r="DK288">
        <v>17</v>
      </c>
      <c r="DL288">
        <v>4</v>
      </c>
      <c r="DM288">
        <v>10</v>
      </c>
      <c r="DN288">
        <v>0</v>
      </c>
      <c r="DO288">
        <v>1</v>
      </c>
      <c r="DP288">
        <v>1</v>
      </c>
      <c r="DQ288">
        <v>0</v>
      </c>
      <c r="DR288">
        <v>0</v>
      </c>
      <c r="DS288">
        <v>0</v>
      </c>
      <c r="DT288">
        <v>0</v>
      </c>
      <c r="DU288">
        <v>1</v>
      </c>
      <c r="DV288">
        <v>17</v>
      </c>
      <c r="DW288">
        <v>26</v>
      </c>
      <c r="DX288">
        <v>6</v>
      </c>
      <c r="DY288">
        <v>10</v>
      </c>
      <c r="DZ288">
        <v>0</v>
      </c>
      <c r="EA288">
        <v>2</v>
      </c>
      <c r="EB288">
        <v>2</v>
      </c>
      <c r="EC288">
        <v>0</v>
      </c>
      <c r="ED288">
        <v>0</v>
      </c>
      <c r="EE288">
        <v>4</v>
      </c>
      <c r="EF288">
        <v>2</v>
      </c>
      <c r="EG288">
        <v>0</v>
      </c>
      <c r="EH288">
        <v>26</v>
      </c>
      <c r="EI288">
        <v>3</v>
      </c>
      <c r="EJ288">
        <v>0</v>
      </c>
      <c r="EK288">
        <v>3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3</v>
      </c>
      <c r="ES288">
        <v>0</v>
      </c>
      <c r="ET288">
        <v>0</v>
      </c>
      <c r="EU288">
        <v>0</v>
      </c>
      <c r="EV288">
        <v>0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</row>
    <row r="289" spans="1:172" ht="14.25">
      <c r="A289">
        <v>284</v>
      </c>
      <c r="B289" t="str">
        <f>"101210"</f>
        <v>101210</v>
      </c>
      <c r="C289" t="str">
        <f>"Masłowice"</f>
        <v>Masłowice</v>
      </c>
      <c r="D289" t="str">
        <f t="shared" si="48"/>
        <v>radomszczański</v>
      </c>
      <c r="E289" t="str">
        <f t="shared" si="49"/>
        <v>łódzkie</v>
      </c>
      <c r="F289">
        <v>2</v>
      </c>
      <c r="G289" t="str">
        <f>"Sala OSP, Chełmo 51, 97-515 Masłowice"</f>
        <v>Sala OSP, Chełmo 51, 97-515 Masłowice</v>
      </c>
      <c r="H289">
        <v>1139</v>
      </c>
      <c r="I289">
        <v>1139</v>
      </c>
      <c r="J289">
        <v>0</v>
      </c>
      <c r="K289">
        <v>800</v>
      </c>
      <c r="L289">
        <v>607</v>
      </c>
      <c r="M289">
        <v>193</v>
      </c>
      <c r="N289">
        <v>193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193</v>
      </c>
      <c r="Z289">
        <v>0</v>
      </c>
      <c r="AA289">
        <v>0</v>
      </c>
      <c r="AB289">
        <v>193</v>
      </c>
      <c r="AC289">
        <v>15</v>
      </c>
      <c r="AD289">
        <v>178</v>
      </c>
      <c r="AE289">
        <v>7</v>
      </c>
      <c r="AF289">
        <v>3</v>
      </c>
      <c r="AG289">
        <v>0</v>
      </c>
      <c r="AH289">
        <v>1</v>
      </c>
      <c r="AI289">
        <v>0</v>
      </c>
      <c r="AJ289">
        <v>0</v>
      </c>
      <c r="AK289">
        <v>0</v>
      </c>
      <c r="AL289">
        <v>0</v>
      </c>
      <c r="AM289">
        <v>3</v>
      </c>
      <c r="AN289">
        <v>0</v>
      </c>
      <c r="AO289">
        <v>0</v>
      </c>
      <c r="AP289">
        <v>7</v>
      </c>
      <c r="AQ289">
        <v>1</v>
      </c>
      <c r="AR289">
        <v>1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1</v>
      </c>
      <c r="BC289">
        <v>23</v>
      </c>
      <c r="BD289">
        <v>17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1</v>
      </c>
      <c r="BK289">
        <v>0</v>
      </c>
      <c r="BL289">
        <v>1</v>
      </c>
      <c r="BM289">
        <v>4</v>
      </c>
      <c r="BN289">
        <v>23</v>
      </c>
      <c r="BO289">
        <v>91</v>
      </c>
      <c r="BP289">
        <v>83</v>
      </c>
      <c r="BQ289">
        <v>0</v>
      </c>
      <c r="BR289">
        <v>2</v>
      </c>
      <c r="BS289">
        <v>4</v>
      </c>
      <c r="BT289">
        <v>1</v>
      </c>
      <c r="BU289">
        <v>1</v>
      </c>
      <c r="BV289">
        <v>0</v>
      </c>
      <c r="BW289">
        <v>0</v>
      </c>
      <c r="BX289">
        <v>0</v>
      </c>
      <c r="BY289">
        <v>0</v>
      </c>
      <c r="BZ289">
        <v>91</v>
      </c>
      <c r="CA289">
        <v>5</v>
      </c>
      <c r="CB289">
        <v>1</v>
      </c>
      <c r="CC289">
        <v>1</v>
      </c>
      <c r="CD289">
        <v>0</v>
      </c>
      <c r="CE289">
        <v>1</v>
      </c>
      <c r="CF289">
        <v>0</v>
      </c>
      <c r="CG289">
        <v>1</v>
      </c>
      <c r="CH289">
        <v>0</v>
      </c>
      <c r="CI289">
        <v>0</v>
      </c>
      <c r="CJ289">
        <v>0</v>
      </c>
      <c r="CK289">
        <v>1</v>
      </c>
      <c r="CL289">
        <v>5</v>
      </c>
      <c r="CM289">
        <v>1</v>
      </c>
      <c r="CN289">
        <v>0</v>
      </c>
      <c r="CO289">
        <v>0</v>
      </c>
      <c r="CP289">
        <v>1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1</v>
      </c>
      <c r="CY289">
        <v>10</v>
      </c>
      <c r="CZ289">
        <v>5</v>
      </c>
      <c r="DA289">
        <v>1</v>
      </c>
      <c r="DB289">
        <v>0</v>
      </c>
      <c r="DC289">
        <v>2</v>
      </c>
      <c r="DD289">
        <v>0</v>
      </c>
      <c r="DE289">
        <v>0</v>
      </c>
      <c r="DF289">
        <v>0</v>
      </c>
      <c r="DG289">
        <v>1</v>
      </c>
      <c r="DH289">
        <v>1</v>
      </c>
      <c r="DI289">
        <v>0</v>
      </c>
      <c r="DJ289">
        <v>10</v>
      </c>
      <c r="DK289">
        <v>17</v>
      </c>
      <c r="DL289">
        <v>6</v>
      </c>
      <c r="DM289">
        <v>6</v>
      </c>
      <c r="DN289">
        <v>2</v>
      </c>
      <c r="DO289">
        <v>1</v>
      </c>
      <c r="DP289">
        <v>0</v>
      </c>
      <c r="DQ289">
        <v>1</v>
      </c>
      <c r="DR289">
        <v>0</v>
      </c>
      <c r="DS289">
        <v>1</v>
      </c>
      <c r="DT289">
        <v>0</v>
      </c>
      <c r="DU289">
        <v>0</v>
      </c>
      <c r="DV289">
        <v>17</v>
      </c>
      <c r="DW289">
        <v>18</v>
      </c>
      <c r="DX289">
        <v>4</v>
      </c>
      <c r="DY289">
        <v>5</v>
      </c>
      <c r="DZ289">
        <v>1</v>
      </c>
      <c r="EA289">
        <v>0</v>
      </c>
      <c r="EB289">
        <v>2</v>
      </c>
      <c r="EC289">
        <v>2</v>
      </c>
      <c r="ED289">
        <v>0</v>
      </c>
      <c r="EE289">
        <v>2</v>
      </c>
      <c r="EF289">
        <v>0</v>
      </c>
      <c r="EG289">
        <v>2</v>
      </c>
      <c r="EH289">
        <v>18</v>
      </c>
      <c r="EI289">
        <v>3</v>
      </c>
      <c r="EJ289">
        <v>0</v>
      </c>
      <c r="EK289">
        <v>3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3</v>
      </c>
      <c r="ES289">
        <v>1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1</v>
      </c>
      <c r="FC289">
        <v>0</v>
      </c>
      <c r="FD289">
        <v>1</v>
      </c>
      <c r="FE289">
        <v>1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1</v>
      </c>
      <c r="FP289">
        <v>1</v>
      </c>
    </row>
    <row r="290" spans="1:172" ht="14.25">
      <c r="A290">
        <v>285</v>
      </c>
      <c r="B290" t="str">
        <f>"101210"</f>
        <v>101210</v>
      </c>
      <c r="C290" t="str">
        <f>"Masłowice"</f>
        <v>Masłowice</v>
      </c>
      <c r="D290" t="str">
        <f aca="true" t="shared" si="52" ref="D290:D314">"radomszczański"</f>
        <v>radomszczański</v>
      </c>
      <c r="E290" t="str">
        <f t="shared" si="49"/>
        <v>łódzkie</v>
      </c>
      <c r="F290">
        <v>3</v>
      </c>
      <c r="G290" t="str">
        <f>"Szkoła Podstawowa w Przerębie, Przerąb 61, 97-515 Masłowice"</f>
        <v>Szkoła Podstawowa w Przerębie, Przerąb 61, 97-515 Masłowice</v>
      </c>
      <c r="H290">
        <v>709</v>
      </c>
      <c r="I290">
        <v>709</v>
      </c>
      <c r="J290">
        <v>0</v>
      </c>
      <c r="K290">
        <v>500</v>
      </c>
      <c r="L290">
        <v>381</v>
      </c>
      <c r="M290">
        <v>119</v>
      </c>
      <c r="N290">
        <v>119</v>
      </c>
      <c r="O290">
        <v>0</v>
      </c>
      <c r="P290">
        <v>0</v>
      </c>
      <c r="Q290">
        <v>2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119</v>
      </c>
      <c r="Z290">
        <v>0</v>
      </c>
      <c r="AA290">
        <v>0</v>
      </c>
      <c r="AB290">
        <v>119</v>
      </c>
      <c r="AC290">
        <v>2</v>
      </c>
      <c r="AD290">
        <v>117</v>
      </c>
      <c r="AE290">
        <v>16</v>
      </c>
      <c r="AF290">
        <v>3</v>
      </c>
      <c r="AG290">
        <v>0</v>
      </c>
      <c r="AH290">
        <v>10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3</v>
      </c>
      <c r="AP290">
        <v>16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9</v>
      </c>
      <c r="BD290">
        <v>6</v>
      </c>
      <c r="BE290">
        <v>1</v>
      </c>
      <c r="BF290">
        <v>0</v>
      </c>
      <c r="BG290">
        <v>0</v>
      </c>
      <c r="BH290">
        <v>1</v>
      </c>
      <c r="BI290">
        <v>0</v>
      </c>
      <c r="BJ290">
        <v>0</v>
      </c>
      <c r="BK290">
        <v>0</v>
      </c>
      <c r="BL290">
        <v>0</v>
      </c>
      <c r="BM290">
        <v>1</v>
      </c>
      <c r="BN290">
        <v>9</v>
      </c>
      <c r="BO290">
        <v>40</v>
      </c>
      <c r="BP290">
        <v>39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1</v>
      </c>
      <c r="BY290">
        <v>0</v>
      </c>
      <c r="BZ290">
        <v>40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5</v>
      </c>
      <c r="CZ290">
        <v>4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1</v>
      </c>
      <c r="DH290">
        <v>0</v>
      </c>
      <c r="DI290">
        <v>0</v>
      </c>
      <c r="DJ290">
        <v>5</v>
      </c>
      <c r="DK290">
        <v>29</v>
      </c>
      <c r="DL290">
        <v>10</v>
      </c>
      <c r="DM290">
        <v>18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1</v>
      </c>
      <c r="DV290">
        <v>29</v>
      </c>
      <c r="DW290">
        <v>17</v>
      </c>
      <c r="DX290">
        <v>0</v>
      </c>
      <c r="DY290">
        <v>5</v>
      </c>
      <c r="DZ290">
        <v>0</v>
      </c>
      <c r="EA290">
        <v>0</v>
      </c>
      <c r="EB290">
        <v>6</v>
      </c>
      <c r="EC290">
        <v>2</v>
      </c>
      <c r="ED290">
        <v>0</v>
      </c>
      <c r="EE290">
        <v>4</v>
      </c>
      <c r="EF290">
        <v>0</v>
      </c>
      <c r="EG290">
        <v>0</v>
      </c>
      <c r="EH290">
        <v>17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1</v>
      </c>
      <c r="FF290">
        <v>0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1</v>
      </c>
      <c r="FN290">
        <v>0</v>
      </c>
      <c r="FO290">
        <v>0</v>
      </c>
      <c r="FP290">
        <v>1</v>
      </c>
    </row>
    <row r="291" spans="1:172" ht="14.25">
      <c r="A291">
        <v>286</v>
      </c>
      <c r="B291" t="str">
        <f>"101210"</f>
        <v>101210</v>
      </c>
      <c r="C291" t="str">
        <f>"Masłowice"</f>
        <v>Masłowice</v>
      </c>
      <c r="D291" t="str">
        <f t="shared" si="52"/>
        <v>radomszczański</v>
      </c>
      <c r="E291" t="str">
        <f t="shared" si="49"/>
        <v>łódzkie</v>
      </c>
      <c r="F291">
        <v>4</v>
      </c>
      <c r="G291" t="str">
        <f>"Budynek po byłej szkole podstawowej, Ochotnik 99, 97-515 Masłowice"</f>
        <v>Budynek po byłej szkole podstawowej, Ochotnik 99, 97-515 Masłowice</v>
      </c>
      <c r="H291">
        <v>751</v>
      </c>
      <c r="I291">
        <v>751</v>
      </c>
      <c r="J291">
        <v>0</v>
      </c>
      <c r="K291">
        <v>530</v>
      </c>
      <c r="L291">
        <v>428</v>
      </c>
      <c r="M291">
        <v>102</v>
      </c>
      <c r="N291">
        <v>102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102</v>
      </c>
      <c r="Z291">
        <v>0</v>
      </c>
      <c r="AA291">
        <v>0</v>
      </c>
      <c r="AB291">
        <v>102</v>
      </c>
      <c r="AC291">
        <v>2</v>
      </c>
      <c r="AD291">
        <v>100</v>
      </c>
      <c r="AE291">
        <v>1</v>
      </c>
      <c r="AF291">
        <v>1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1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2</v>
      </c>
      <c r="BD291">
        <v>0</v>
      </c>
      <c r="BE291">
        <v>1</v>
      </c>
      <c r="BF291">
        <v>0</v>
      </c>
      <c r="BG291">
        <v>0</v>
      </c>
      <c r="BH291">
        <v>0</v>
      </c>
      <c r="BI291">
        <v>1</v>
      </c>
      <c r="BJ291">
        <v>0</v>
      </c>
      <c r="BK291">
        <v>0</v>
      </c>
      <c r="BL291">
        <v>0</v>
      </c>
      <c r="BM291">
        <v>0</v>
      </c>
      <c r="BN291">
        <v>2</v>
      </c>
      <c r="BO291">
        <v>63</v>
      </c>
      <c r="BP291">
        <v>60</v>
      </c>
      <c r="BQ291">
        <v>1</v>
      </c>
      <c r="BR291">
        <v>2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63</v>
      </c>
      <c r="CA291">
        <v>2</v>
      </c>
      <c r="CB291">
        <v>0</v>
      </c>
      <c r="CC291">
        <v>0</v>
      </c>
      <c r="CD291">
        <v>0</v>
      </c>
      <c r="CE291">
        <v>2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2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3</v>
      </c>
      <c r="CZ291">
        <v>3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3</v>
      </c>
      <c r="DK291">
        <v>7</v>
      </c>
      <c r="DL291">
        <v>4</v>
      </c>
      <c r="DM291">
        <v>3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7</v>
      </c>
      <c r="DW291">
        <v>18</v>
      </c>
      <c r="DX291">
        <v>4</v>
      </c>
      <c r="DY291">
        <v>3</v>
      </c>
      <c r="DZ291">
        <v>0</v>
      </c>
      <c r="EA291">
        <v>5</v>
      </c>
      <c r="EB291">
        <v>0</v>
      </c>
      <c r="EC291">
        <v>0</v>
      </c>
      <c r="ED291">
        <v>1</v>
      </c>
      <c r="EE291">
        <v>5</v>
      </c>
      <c r="EF291">
        <v>0</v>
      </c>
      <c r="EG291">
        <v>0</v>
      </c>
      <c r="EH291">
        <v>18</v>
      </c>
      <c r="EI291">
        <v>1</v>
      </c>
      <c r="EJ291">
        <v>0</v>
      </c>
      <c r="EK291">
        <v>0</v>
      </c>
      <c r="EL291">
        <v>0</v>
      </c>
      <c r="EM291">
        <v>1</v>
      </c>
      <c r="EN291">
        <v>0</v>
      </c>
      <c r="EO291">
        <v>0</v>
      </c>
      <c r="EP291">
        <v>0</v>
      </c>
      <c r="EQ291">
        <v>0</v>
      </c>
      <c r="ER291">
        <v>1</v>
      </c>
      <c r="ES291">
        <v>2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1</v>
      </c>
      <c r="EZ291">
        <v>0</v>
      </c>
      <c r="FA291">
        <v>0</v>
      </c>
      <c r="FB291">
        <v>0</v>
      </c>
      <c r="FC291">
        <v>1</v>
      </c>
      <c r="FD291">
        <v>2</v>
      </c>
      <c r="FE291">
        <v>1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1</v>
      </c>
      <c r="FM291">
        <v>0</v>
      </c>
      <c r="FN291">
        <v>0</v>
      </c>
      <c r="FO291">
        <v>0</v>
      </c>
      <c r="FP291">
        <v>1</v>
      </c>
    </row>
    <row r="292" spans="1:172" ht="14.25">
      <c r="A292">
        <v>287</v>
      </c>
      <c r="B292" t="str">
        <f aca="true" t="shared" si="53" ref="B292:B298">"101211"</f>
        <v>101211</v>
      </c>
      <c r="C292" t="str">
        <f aca="true" t="shared" si="54" ref="C292:C298">"Przedbórz"</f>
        <v>Przedbórz</v>
      </c>
      <c r="D292" t="str">
        <f t="shared" si="52"/>
        <v>radomszczański</v>
      </c>
      <c r="E292" t="str">
        <f t="shared" si="49"/>
        <v>łódzkie</v>
      </c>
      <c r="F292">
        <v>1</v>
      </c>
      <c r="G292" t="str">
        <f>"Zespół Szkolno-Gimnazjalny, ul. Mostowa 37 A, 97-570 Przedbórz"</f>
        <v>Zespół Szkolno-Gimnazjalny, ul. Mostowa 37 A, 97-570 Przedbórz</v>
      </c>
      <c r="H292">
        <v>1437</v>
      </c>
      <c r="I292">
        <v>1437</v>
      </c>
      <c r="J292">
        <v>0</v>
      </c>
      <c r="K292">
        <v>1010</v>
      </c>
      <c r="L292">
        <v>749</v>
      </c>
      <c r="M292">
        <v>261</v>
      </c>
      <c r="N292">
        <v>261</v>
      </c>
      <c r="O292">
        <v>0</v>
      </c>
      <c r="P292">
        <v>0</v>
      </c>
      <c r="Q292">
        <v>2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261</v>
      </c>
      <c r="Z292">
        <v>0</v>
      </c>
      <c r="AA292">
        <v>0</v>
      </c>
      <c r="AB292">
        <v>261</v>
      </c>
      <c r="AC292">
        <v>23</v>
      </c>
      <c r="AD292">
        <v>238</v>
      </c>
      <c r="AE292">
        <v>15</v>
      </c>
      <c r="AF292">
        <v>2</v>
      </c>
      <c r="AG292">
        <v>1</v>
      </c>
      <c r="AH292">
        <v>11</v>
      </c>
      <c r="AI292">
        <v>1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15</v>
      </c>
      <c r="AQ292">
        <v>8</v>
      </c>
      <c r="AR292">
        <v>6</v>
      </c>
      <c r="AS292">
        <v>0</v>
      </c>
      <c r="AT292">
        <v>0</v>
      </c>
      <c r="AU292">
        <v>1</v>
      </c>
      <c r="AV292">
        <v>0</v>
      </c>
      <c r="AW292">
        <v>0</v>
      </c>
      <c r="AX292">
        <v>0</v>
      </c>
      <c r="AY292">
        <v>1</v>
      </c>
      <c r="AZ292">
        <v>0</v>
      </c>
      <c r="BA292">
        <v>0</v>
      </c>
      <c r="BB292">
        <v>8</v>
      </c>
      <c r="BC292">
        <v>5</v>
      </c>
      <c r="BD292">
        <v>1</v>
      </c>
      <c r="BE292">
        <v>3</v>
      </c>
      <c r="BF292">
        <v>0</v>
      </c>
      <c r="BG292">
        <v>0</v>
      </c>
      <c r="BH292">
        <v>0</v>
      </c>
      <c r="BI292">
        <v>1</v>
      </c>
      <c r="BJ292">
        <v>0</v>
      </c>
      <c r="BK292">
        <v>0</v>
      </c>
      <c r="BL292">
        <v>0</v>
      </c>
      <c r="BM292">
        <v>0</v>
      </c>
      <c r="BN292">
        <v>5</v>
      </c>
      <c r="BO292">
        <v>128</v>
      </c>
      <c r="BP292">
        <v>87</v>
      </c>
      <c r="BQ292">
        <v>2</v>
      </c>
      <c r="BR292">
        <v>1</v>
      </c>
      <c r="BS292">
        <v>2</v>
      </c>
      <c r="BT292">
        <v>1</v>
      </c>
      <c r="BU292">
        <v>31</v>
      </c>
      <c r="BV292">
        <v>0</v>
      </c>
      <c r="BW292">
        <v>0</v>
      </c>
      <c r="BX292">
        <v>3</v>
      </c>
      <c r="BY292">
        <v>1</v>
      </c>
      <c r="BZ292">
        <v>128</v>
      </c>
      <c r="CA292">
        <v>1</v>
      </c>
      <c r="CB292">
        <v>1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1</v>
      </c>
      <c r="CM292">
        <v>1</v>
      </c>
      <c r="CN292">
        <v>1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1</v>
      </c>
      <c r="CY292">
        <v>10</v>
      </c>
      <c r="CZ292">
        <v>7</v>
      </c>
      <c r="DA292">
        <v>1</v>
      </c>
      <c r="DB292">
        <v>0</v>
      </c>
      <c r="DC292">
        <v>0</v>
      </c>
      <c r="DD292">
        <v>0</v>
      </c>
      <c r="DE292">
        <v>2</v>
      </c>
      <c r="DF292">
        <v>0</v>
      </c>
      <c r="DG292">
        <v>0</v>
      </c>
      <c r="DH292">
        <v>0</v>
      </c>
      <c r="DI292">
        <v>0</v>
      </c>
      <c r="DJ292">
        <v>10</v>
      </c>
      <c r="DK292">
        <v>36</v>
      </c>
      <c r="DL292">
        <v>24</v>
      </c>
      <c r="DM292">
        <v>11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1</v>
      </c>
      <c r="DV292">
        <v>36</v>
      </c>
      <c r="DW292">
        <v>29</v>
      </c>
      <c r="DX292">
        <v>2</v>
      </c>
      <c r="DY292">
        <v>19</v>
      </c>
      <c r="DZ292">
        <v>1</v>
      </c>
      <c r="EA292">
        <v>0</v>
      </c>
      <c r="EB292">
        <v>0</v>
      </c>
      <c r="EC292">
        <v>2</v>
      </c>
      <c r="ED292">
        <v>0</v>
      </c>
      <c r="EE292">
        <v>1</v>
      </c>
      <c r="EF292">
        <v>0</v>
      </c>
      <c r="EG292">
        <v>4</v>
      </c>
      <c r="EH292">
        <v>29</v>
      </c>
      <c r="EI292">
        <v>3</v>
      </c>
      <c r="EJ292">
        <v>2</v>
      </c>
      <c r="EK292">
        <v>0</v>
      </c>
      <c r="EL292">
        <v>0</v>
      </c>
      <c r="EM292">
        <v>1</v>
      </c>
      <c r="EN292">
        <v>0</v>
      </c>
      <c r="EO292">
        <v>0</v>
      </c>
      <c r="EP292">
        <v>0</v>
      </c>
      <c r="EQ292">
        <v>0</v>
      </c>
      <c r="ER292">
        <v>3</v>
      </c>
      <c r="ES292">
        <v>1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1</v>
      </c>
      <c r="EZ292">
        <v>0</v>
      </c>
      <c r="FA292">
        <v>0</v>
      </c>
      <c r="FB292">
        <v>0</v>
      </c>
      <c r="FC292">
        <v>0</v>
      </c>
      <c r="FD292">
        <v>1</v>
      </c>
      <c r="FE292">
        <v>1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1</v>
      </c>
      <c r="FO292">
        <v>0</v>
      </c>
      <c r="FP292">
        <v>1</v>
      </c>
    </row>
    <row r="293" spans="1:172" ht="14.25">
      <c r="A293">
        <v>288</v>
      </c>
      <c r="B293" t="str">
        <f t="shared" si="53"/>
        <v>101211</v>
      </c>
      <c r="C293" t="str">
        <f t="shared" si="54"/>
        <v>Przedbórz</v>
      </c>
      <c r="D293" t="str">
        <f t="shared" si="52"/>
        <v>radomszczański</v>
      </c>
      <c r="E293" t="str">
        <f t="shared" si="49"/>
        <v>łódzkie</v>
      </c>
      <c r="F293">
        <v>2</v>
      </c>
      <c r="G293" t="str">
        <f>"Zespół Szkół Ponadgimnazjalnych, ul. Piotrkowska 1, 97-570 Przedbórz"</f>
        <v>Zespół Szkół Ponadgimnazjalnych, ul. Piotrkowska 1, 97-570 Przedbórz</v>
      </c>
      <c r="H293">
        <v>1495</v>
      </c>
      <c r="I293">
        <v>1495</v>
      </c>
      <c r="J293">
        <v>0</v>
      </c>
      <c r="K293">
        <v>1060</v>
      </c>
      <c r="L293">
        <v>716</v>
      </c>
      <c r="M293">
        <v>344</v>
      </c>
      <c r="N293">
        <v>344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344</v>
      </c>
      <c r="Z293">
        <v>0</v>
      </c>
      <c r="AA293">
        <v>0</v>
      </c>
      <c r="AB293">
        <v>344</v>
      </c>
      <c r="AC293">
        <v>8</v>
      </c>
      <c r="AD293">
        <v>336</v>
      </c>
      <c r="AE293">
        <v>32</v>
      </c>
      <c r="AF293">
        <v>4</v>
      </c>
      <c r="AG293">
        <v>0</v>
      </c>
      <c r="AH293">
        <v>27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1</v>
      </c>
      <c r="AP293">
        <v>32</v>
      </c>
      <c r="AQ293">
        <v>4</v>
      </c>
      <c r="AR293">
        <v>2</v>
      </c>
      <c r="AS293">
        <v>0</v>
      </c>
      <c r="AT293">
        <v>1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1</v>
      </c>
      <c r="BB293">
        <v>4</v>
      </c>
      <c r="BC293">
        <v>20</v>
      </c>
      <c r="BD293">
        <v>9</v>
      </c>
      <c r="BE293">
        <v>1</v>
      </c>
      <c r="BF293">
        <v>0</v>
      </c>
      <c r="BG293">
        <v>0</v>
      </c>
      <c r="BH293">
        <v>0</v>
      </c>
      <c r="BI293">
        <v>1</v>
      </c>
      <c r="BJ293">
        <v>4</v>
      </c>
      <c r="BK293">
        <v>0</v>
      </c>
      <c r="BL293">
        <v>3</v>
      </c>
      <c r="BM293">
        <v>2</v>
      </c>
      <c r="BN293">
        <v>20</v>
      </c>
      <c r="BO293">
        <v>163</v>
      </c>
      <c r="BP293">
        <v>134</v>
      </c>
      <c r="BQ293">
        <v>4</v>
      </c>
      <c r="BR293">
        <v>2</v>
      </c>
      <c r="BS293">
        <v>2</v>
      </c>
      <c r="BT293">
        <v>2</v>
      </c>
      <c r="BU293">
        <v>15</v>
      </c>
      <c r="BV293">
        <v>1</v>
      </c>
      <c r="BW293">
        <v>1</v>
      </c>
      <c r="BX293">
        <v>2</v>
      </c>
      <c r="BY293">
        <v>0</v>
      </c>
      <c r="BZ293">
        <v>163</v>
      </c>
      <c r="CA293">
        <v>3</v>
      </c>
      <c r="CB293">
        <v>1</v>
      </c>
      <c r="CC293">
        <v>0</v>
      </c>
      <c r="CD293">
        <v>0</v>
      </c>
      <c r="CE293">
        <v>1</v>
      </c>
      <c r="CF293">
        <v>0</v>
      </c>
      <c r="CG293">
        <v>1</v>
      </c>
      <c r="CH293">
        <v>0</v>
      </c>
      <c r="CI293">
        <v>0</v>
      </c>
      <c r="CJ293">
        <v>0</v>
      </c>
      <c r="CK293">
        <v>0</v>
      </c>
      <c r="CL293">
        <v>3</v>
      </c>
      <c r="CM293">
        <v>9</v>
      </c>
      <c r="CN293">
        <v>7</v>
      </c>
      <c r="CO293">
        <v>0</v>
      </c>
      <c r="CP293">
        <v>0</v>
      </c>
      <c r="CQ293">
        <v>1</v>
      </c>
      <c r="CR293">
        <v>0</v>
      </c>
      <c r="CS293">
        <v>0</v>
      </c>
      <c r="CT293">
        <v>0</v>
      </c>
      <c r="CU293">
        <v>1</v>
      </c>
      <c r="CV293">
        <v>0</v>
      </c>
      <c r="CW293">
        <v>0</v>
      </c>
      <c r="CX293">
        <v>9</v>
      </c>
      <c r="CY293">
        <v>26</v>
      </c>
      <c r="CZ293">
        <v>15</v>
      </c>
      <c r="DA293">
        <v>1</v>
      </c>
      <c r="DB293">
        <v>0</v>
      </c>
      <c r="DC293">
        <v>2</v>
      </c>
      <c r="DD293">
        <v>1</v>
      </c>
      <c r="DE293">
        <v>1</v>
      </c>
      <c r="DF293">
        <v>1</v>
      </c>
      <c r="DG293">
        <v>2</v>
      </c>
      <c r="DH293">
        <v>1</v>
      </c>
      <c r="DI293">
        <v>2</v>
      </c>
      <c r="DJ293">
        <v>26</v>
      </c>
      <c r="DK293">
        <v>49</v>
      </c>
      <c r="DL293">
        <v>30</v>
      </c>
      <c r="DM293">
        <v>13</v>
      </c>
      <c r="DN293">
        <v>1</v>
      </c>
      <c r="DO293">
        <v>1</v>
      </c>
      <c r="DP293">
        <v>1</v>
      </c>
      <c r="DQ293">
        <v>1</v>
      </c>
      <c r="DR293">
        <v>1</v>
      </c>
      <c r="DS293">
        <v>0</v>
      </c>
      <c r="DT293">
        <v>0</v>
      </c>
      <c r="DU293">
        <v>1</v>
      </c>
      <c r="DV293">
        <v>49</v>
      </c>
      <c r="DW293">
        <v>25</v>
      </c>
      <c r="DX293">
        <v>2</v>
      </c>
      <c r="DY293">
        <v>19</v>
      </c>
      <c r="DZ293">
        <v>0</v>
      </c>
      <c r="EA293">
        <v>0</v>
      </c>
      <c r="EB293">
        <v>2</v>
      </c>
      <c r="EC293">
        <v>1</v>
      </c>
      <c r="ED293">
        <v>0</v>
      </c>
      <c r="EE293">
        <v>0</v>
      </c>
      <c r="EF293">
        <v>1</v>
      </c>
      <c r="EG293">
        <v>0</v>
      </c>
      <c r="EH293">
        <v>25</v>
      </c>
      <c r="EI293">
        <v>4</v>
      </c>
      <c r="EJ293">
        <v>1</v>
      </c>
      <c r="EK293">
        <v>3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4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1</v>
      </c>
      <c r="FF293">
        <v>0</v>
      </c>
      <c r="FG293">
        <v>0</v>
      </c>
      <c r="FH293">
        <v>1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1</v>
      </c>
    </row>
    <row r="294" spans="1:172" ht="14.25">
      <c r="A294">
        <v>289</v>
      </c>
      <c r="B294" t="str">
        <f t="shared" si="53"/>
        <v>101211</v>
      </c>
      <c r="C294" t="str">
        <f t="shared" si="54"/>
        <v>Przedbórz</v>
      </c>
      <c r="D294" t="str">
        <f t="shared" si="52"/>
        <v>radomszczański</v>
      </c>
      <c r="E294" t="str">
        <f t="shared" si="49"/>
        <v>łódzkie</v>
      </c>
      <c r="F294">
        <v>3</v>
      </c>
      <c r="G294" t="str">
        <f>"Szkoła Podstawowa, Góry Mokre 94a, 97-570 Przedbórz"</f>
        <v>Szkoła Podstawowa, Góry Mokre 94a, 97-570 Przedbórz</v>
      </c>
      <c r="H294">
        <v>1177</v>
      </c>
      <c r="I294">
        <v>1177</v>
      </c>
      <c r="J294">
        <v>0</v>
      </c>
      <c r="K294">
        <v>830</v>
      </c>
      <c r="L294">
        <v>683</v>
      </c>
      <c r="M294">
        <v>147</v>
      </c>
      <c r="N294">
        <v>147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147</v>
      </c>
      <c r="Z294">
        <v>0</v>
      </c>
      <c r="AA294">
        <v>0</v>
      </c>
      <c r="AB294">
        <v>147</v>
      </c>
      <c r="AC294">
        <v>7</v>
      </c>
      <c r="AD294">
        <v>140</v>
      </c>
      <c r="AE294">
        <v>8</v>
      </c>
      <c r="AF294">
        <v>3</v>
      </c>
      <c r="AG294">
        <v>0</v>
      </c>
      <c r="AH294">
        <v>4</v>
      </c>
      <c r="AI294">
        <v>1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8</v>
      </c>
      <c r="AQ294">
        <v>1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1</v>
      </c>
      <c r="AZ294">
        <v>0</v>
      </c>
      <c r="BA294">
        <v>0</v>
      </c>
      <c r="BB294">
        <v>1</v>
      </c>
      <c r="BC294">
        <v>9</v>
      </c>
      <c r="BD294">
        <v>4</v>
      </c>
      <c r="BE294">
        <v>1</v>
      </c>
      <c r="BF294">
        <v>0</v>
      </c>
      <c r="BG294">
        <v>0</v>
      </c>
      <c r="BH294">
        <v>0</v>
      </c>
      <c r="BI294">
        <v>0</v>
      </c>
      <c r="BJ294">
        <v>4</v>
      </c>
      <c r="BK294">
        <v>0</v>
      </c>
      <c r="BL294">
        <v>0</v>
      </c>
      <c r="BM294">
        <v>0</v>
      </c>
      <c r="BN294">
        <v>9</v>
      </c>
      <c r="BO294">
        <v>77</v>
      </c>
      <c r="BP294">
        <v>53</v>
      </c>
      <c r="BQ294">
        <v>3</v>
      </c>
      <c r="BR294">
        <v>4</v>
      </c>
      <c r="BS294">
        <v>0</v>
      </c>
      <c r="BT294">
        <v>0</v>
      </c>
      <c r="BU294">
        <v>15</v>
      </c>
      <c r="BV294">
        <v>1</v>
      </c>
      <c r="BW294">
        <v>0</v>
      </c>
      <c r="BX294">
        <v>1</v>
      </c>
      <c r="BY294">
        <v>0</v>
      </c>
      <c r="BZ294">
        <v>77</v>
      </c>
      <c r="CA294">
        <v>2</v>
      </c>
      <c r="CB294">
        <v>0</v>
      </c>
      <c r="CC294">
        <v>0</v>
      </c>
      <c r="CD294">
        <v>2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2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2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1</v>
      </c>
      <c r="DH294">
        <v>0</v>
      </c>
      <c r="DI294">
        <v>0</v>
      </c>
      <c r="DJ294">
        <v>2</v>
      </c>
      <c r="DK294">
        <v>11</v>
      </c>
      <c r="DL294">
        <v>6</v>
      </c>
      <c r="DM294">
        <v>1</v>
      </c>
      <c r="DN294">
        <v>0</v>
      </c>
      <c r="DO294">
        <v>1</v>
      </c>
      <c r="DP294">
        <v>0</v>
      </c>
      <c r="DQ294">
        <v>0</v>
      </c>
      <c r="DR294">
        <v>0</v>
      </c>
      <c r="DS294">
        <v>0</v>
      </c>
      <c r="DT294">
        <v>3</v>
      </c>
      <c r="DU294">
        <v>0</v>
      </c>
      <c r="DV294">
        <v>11</v>
      </c>
      <c r="DW294">
        <v>26</v>
      </c>
      <c r="DX294">
        <v>2</v>
      </c>
      <c r="DY294">
        <v>10</v>
      </c>
      <c r="DZ294">
        <v>0</v>
      </c>
      <c r="EA294">
        <v>0</v>
      </c>
      <c r="EB294">
        <v>1</v>
      </c>
      <c r="EC294">
        <v>12</v>
      </c>
      <c r="ED294">
        <v>0</v>
      </c>
      <c r="EE294">
        <v>0</v>
      </c>
      <c r="EF294">
        <v>0</v>
      </c>
      <c r="EG294">
        <v>1</v>
      </c>
      <c r="EH294">
        <v>26</v>
      </c>
      <c r="EI294">
        <v>1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1</v>
      </c>
      <c r="EP294">
        <v>0</v>
      </c>
      <c r="EQ294">
        <v>0</v>
      </c>
      <c r="ER294">
        <v>1</v>
      </c>
      <c r="ES294">
        <v>1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1</v>
      </c>
      <c r="EZ294">
        <v>0</v>
      </c>
      <c r="FA294">
        <v>0</v>
      </c>
      <c r="FB294">
        <v>0</v>
      </c>
      <c r="FC294">
        <v>0</v>
      </c>
      <c r="FD294">
        <v>1</v>
      </c>
      <c r="FE294">
        <v>2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1</v>
      </c>
      <c r="FN294">
        <v>0</v>
      </c>
      <c r="FO294">
        <v>1</v>
      </c>
      <c r="FP294">
        <v>2</v>
      </c>
    </row>
    <row r="295" spans="1:172" ht="14.25">
      <c r="A295">
        <v>290</v>
      </c>
      <c r="B295" t="str">
        <f t="shared" si="53"/>
        <v>101211</v>
      </c>
      <c r="C295" t="str">
        <f t="shared" si="54"/>
        <v>Przedbórz</v>
      </c>
      <c r="D295" t="str">
        <f t="shared" si="52"/>
        <v>radomszczański</v>
      </c>
      <c r="E295" t="str">
        <f t="shared" si="49"/>
        <v>łódzkie</v>
      </c>
      <c r="F295">
        <v>4</v>
      </c>
      <c r="G295" t="str">
        <f>"Budynek po byłej Szkole Podstawowej, Nosalewice 1a, 97-570 Przedbórz"</f>
        <v>Budynek po byłej Szkole Podstawowej, Nosalewice 1a, 97-570 Przedbórz</v>
      </c>
      <c r="H295">
        <v>819</v>
      </c>
      <c r="I295">
        <v>819</v>
      </c>
      <c r="J295">
        <v>0</v>
      </c>
      <c r="K295">
        <v>581</v>
      </c>
      <c r="L295">
        <v>487</v>
      </c>
      <c r="M295">
        <v>94</v>
      </c>
      <c r="N295">
        <v>94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94</v>
      </c>
      <c r="Z295">
        <v>0</v>
      </c>
      <c r="AA295">
        <v>0</v>
      </c>
      <c r="AB295">
        <v>94</v>
      </c>
      <c r="AC295">
        <v>5</v>
      </c>
      <c r="AD295">
        <v>89</v>
      </c>
      <c r="AE295">
        <v>2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1</v>
      </c>
      <c r="AM295">
        <v>1</v>
      </c>
      <c r="AN295">
        <v>0</v>
      </c>
      <c r="AO295">
        <v>0</v>
      </c>
      <c r="AP295">
        <v>2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3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1</v>
      </c>
      <c r="BJ295">
        <v>0</v>
      </c>
      <c r="BK295">
        <v>0</v>
      </c>
      <c r="BL295">
        <v>0</v>
      </c>
      <c r="BM295">
        <v>2</v>
      </c>
      <c r="BN295">
        <v>3</v>
      </c>
      <c r="BO295">
        <v>49</v>
      </c>
      <c r="BP295">
        <v>37</v>
      </c>
      <c r="BQ295">
        <v>1</v>
      </c>
      <c r="BR295">
        <v>0</v>
      </c>
      <c r="BS295">
        <v>2</v>
      </c>
      <c r="BT295">
        <v>0</v>
      </c>
      <c r="BU295">
        <v>7</v>
      </c>
      <c r="BV295">
        <v>0</v>
      </c>
      <c r="BW295">
        <v>0</v>
      </c>
      <c r="BX295">
        <v>2</v>
      </c>
      <c r="BY295">
        <v>0</v>
      </c>
      <c r="BZ295">
        <v>49</v>
      </c>
      <c r="CA295">
        <v>1</v>
      </c>
      <c r="CB295">
        <v>0</v>
      </c>
      <c r="CC295">
        <v>0</v>
      </c>
      <c r="CD295">
        <v>0</v>
      </c>
      <c r="CE295">
        <v>1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1</v>
      </c>
      <c r="CM295">
        <v>1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1</v>
      </c>
      <c r="CT295">
        <v>0</v>
      </c>
      <c r="CU295">
        <v>0</v>
      </c>
      <c r="CV295">
        <v>0</v>
      </c>
      <c r="CW295">
        <v>0</v>
      </c>
      <c r="CX295">
        <v>1</v>
      </c>
      <c r="CY295">
        <v>3</v>
      </c>
      <c r="CZ295">
        <v>0</v>
      </c>
      <c r="DA295">
        <v>1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1</v>
      </c>
      <c r="DI295">
        <v>1</v>
      </c>
      <c r="DJ295">
        <v>3</v>
      </c>
      <c r="DK295">
        <v>11</v>
      </c>
      <c r="DL295">
        <v>9</v>
      </c>
      <c r="DM295">
        <v>2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11</v>
      </c>
      <c r="DW295">
        <v>19</v>
      </c>
      <c r="DX295">
        <v>3</v>
      </c>
      <c r="DY295">
        <v>9</v>
      </c>
      <c r="DZ295">
        <v>1</v>
      </c>
      <c r="EA295">
        <v>1</v>
      </c>
      <c r="EB295">
        <v>0</v>
      </c>
      <c r="EC295">
        <v>0</v>
      </c>
      <c r="ED295">
        <v>1</v>
      </c>
      <c r="EE295">
        <v>4</v>
      </c>
      <c r="EF295">
        <v>0</v>
      </c>
      <c r="EG295">
        <v>0</v>
      </c>
      <c r="EH295">
        <v>19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0</v>
      </c>
      <c r="FO295">
        <v>0</v>
      </c>
      <c r="FP295">
        <v>0</v>
      </c>
    </row>
    <row r="296" spans="1:172" ht="14.25">
      <c r="A296">
        <v>291</v>
      </c>
      <c r="B296" t="str">
        <f t="shared" si="53"/>
        <v>101211</v>
      </c>
      <c r="C296" t="str">
        <f t="shared" si="54"/>
        <v>Przedbórz</v>
      </c>
      <c r="D296" t="str">
        <f t="shared" si="52"/>
        <v>radomszczański</v>
      </c>
      <c r="E296" t="str">
        <f t="shared" si="49"/>
        <v>łódzkie</v>
      </c>
      <c r="F296">
        <v>5</v>
      </c>
      <c r="G296" t="str">
        <f>"Przedszkole Samorządowe, ul. Mostowa 39, 97-570 Przedbórz"</f>
        <v>Przedszkole Samorządowe, ul. Mostowa 39, 97-570 Przedbórz</v>
      </c>
      <c r="H296">
        <v>1124</v>
      </c>
      <c r="I296">
        <v>1124</v>
      </c>
      <c r="J296">
        <v>0</v>
      </c>
      <c r="K296">
        <v>790</v>
      </c>
      <c r="L296">
        <v>450</v>
      </c>
      <c r="M296">
        <v>340</v>
      </c>
      <c r="N296">
        <v>340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340</v>
      </c>
      <c r="Z296">
        <v>0</v>
      </c>
      <c r="AA296">
        <v>0</v>
      </c>
      <c r="AB296">
        <v>340</v>
      </c>
      <c r="AC296">
        <v>19</v>
      </c>
      <c r="AD296">
        <v>321</v>
      </c>
      <c r="AE296">
        <v>21</v>
      </c>
      <c r="AF296">
        <v>3</v>
      </c>
      <c r="AG296">
        <v>2</v>
      </c>
      <c r="AH296">
        <v>15</v>
      </c>
      <c r="AI296">
        <v>0</v>
      </c>
      <c r="AJ296">
        <v>0</v>
      </c>
      <c r="AK296">
        <v>0</v>
      </c>
      <c r="AL296">
        <v>1</v>
      </c>
      <c r="AM296">
        <v>0</v>
      </c>
      <c r="AN296">
        <v>0</v>
      </c>
      <c r="AO296">
        <v>0</v>
      </c>
      <c r="AP296">
        <v>21</v>
      </c>
      <c r="AQ296">
        <v>13</v>
      </c>
      <c r="AR296">
        <v>13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13</v>
      </c>
      <c r="BC296">
        <v>28</v>
      </c>
      <c r="BD296">
        <v>16</v>
      </c>
      <c r="BE296">
        <v>2</v>
      </c>
      <c r="BF296">
        <v>0</v>
      </c>
      <c r="BG296">
        <v>2</v>
      </c>
      <c r="BH296">
        <v>0</v>
      </c>
      <c r="BI296">
        <v>4</v>
      </c>
      <c r="BJ296">
        <v>3</v>
      </c>
      <c r="BK296">
        <v>0</v>
      </c>
      <c r="BL296">
        <v>1</v>
      </c>
      <c r="BM296">
        <v>0</v>
      </c>
      <c r="BN296">
        <v>28</v>
      </c>
      <c r="BO296">
        <v>149</v>
      </c>
      <c r="BP296">
        <v>114</v>
      </c>
      <c r="BQ296">
        <v>3</v>
      </c>
      <c r="BR296">
        <v>0</v>
      </c>
      <c r="BS296">
        <v>0</v>
      </c>
      <c r="BT296">
        <v>0</v>
      </c>
      <c r="BU296">
        <v>30</v>
      </c>
      <c r="BV296">
        <v>0</v>
      </c>
      <c r="BW296">
        <v>0</v>
      </c>
      <c r="BX296">
        <v>2</v>
      </c>
      <c r="BY296">
        <v>0</v>
      </c>
      <c r="BZ296">
        <v>149</v>
      </c>
      <c r="CA296">
        <v>8</v>
      </c>
      <c r="CB296">
        <v>1</v>
      </c>
      <c r="CC296">
        <v>4</v>
      </c>
      <c r="CD296">
        <v>1</v>
      </c>
      <c r="CE296">
        <v>0</v>
      </c>
      <c r="CF296">
        <v>0</v>
      </c>
      <c r="CG296">
        <v>0</v>
      </c>
      <c r="CH296">
        <v>0</v>
      </c>
      <c r="CI296">
        <v>1</v>
      </c>
      <c r="CJ296">
        <v>0</v>
      </c>
      <c r="CK296">
        <v>1</v>
      </c>
      <c r="CL296">
        <v>8</v>
      </c>
      <c r="CM296">
        <v>4</v>
      </c>
      <c r="CN296">
        <v>3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1</v>
      </c>
      <c r="CU296">
        <v>0</v>
      </c>
      <c r="CV296">
        <v>0</v>
      </c>
      <c r="CW296">
        <v>0</v>
      </c>
      <c r="CX296">
        <v>4</v>
      </c>
      <c r="CY296">
        <v>13</v>
      </c>
      <c r="CZ296">
        <v>9</v>
      </c>
      <c r="DA296">
        <v>3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1</v>
      </c>
      <c r="DJ296">
        <v>13</v>
      </c>
      <c r="DK296">
        <v>58</v>
      </c>
      <c r="DL296">
        <v>29</v>
      </c>
      <c r="DM296">
        <v>19</v>
      </c>
      <c r="DN296">
        <v>1</v>
      </c>
      <c r="DO296">
        <v>2</v>
      </c>
      <c r="DP296">
        <v>0</v>
      </c>
      <c r="DQ296">
        <v>3</v>
      </c>
      <c r="DR296">
        <v>0</v>
      </c>
      <c r="DS296">
        <v>1</v>
      </c>
      <c r="DT296">
        <v>1</v>
      </c>
      <c r="DU296">
        <v>2</v>
      </c>
      <c r="DV296">
        <v>58</v>
      </c>
      <c r="DW296">
        <v>22</v>
      </c>
      <c r="DX296">
        <v>3</v>
      </c>
      <c r="DY296">
        <v>7</v>
      </c>
      <c r="DZ296">
        <v>0</v>
      </c>
      <c r="EA296">
        <v>0</v>
      </c>
      <c r="EB296">
        <v>0</v>
      </c>
      <c r="EC296">
        <v>7</v>
      </c>
      <c r="ED296">
        <v>1</v>
      </c>
      <c r="EE296">
        <v>1</v>
      </c>
      <c r="EF296">
        <v>1</v>
      </c>
      <c r="EG296">
        <v>2</v>
      </c>
      <c r="EH296">
        <v>22</v>
      </c>
      <c r="EI296">
        <v>1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1</v>
      </c>
      <c r="ER296">
        <v>1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4</v>
      </c>
      <c r="FF296">
        <v>0</v>
      </c>
      <c r="FG296">
        <v>2</v>
      </c>
      <c r="FH296">
        <v>0</v>
      </c>
      <c r="FI296">
        <v>0</v>
      </c>
      <c r="FJ296">
        <v>1</v>
      </c>
      <c r="FK296">
        <v>0</v>
      </c>
      <c r="FL296">
        <v>0</v>
      </c>
      <c r="FM296">
        <v>0</v>
      </c>
      <c r="FN296">
        <v>0</v>
      </c>
      <c r="FO296">
        <v>1</v>
      </c>
      <c r="FP296">
        <v>4</v>
      </c>
    </row>
    <row r="297" spans="1:172" ht="14.25">
      <c r="A297">
        <v>292</v>
      </c>
      <c r="B297" t="str">
        <f t="shared" si="53"/>
        <v>101211</v>
      </c>
      <c r="C297" t="str">
        <f t="shared" si="54"/>
        <v>Przedbórz</v>
      </c>
      <c r="D297" t="str">
        <f t="shared" si="52"/>
        <v>radomszczański</v>
      </c>
      <c r="E297" t="str">
        <f t="shared" si="49"/>
        <v>łódzkie</v>
      </c>
      <c r="F297">
        <v>6</v>
      </c>
      <c r="G297" t="str">
        <f>"Samodzielny Zakład Opieki Zdrowotnej - Zakład Pielęgnacyjno-Opiekuńczy w Przedborzu, Częstochowska 25, 97-570 Przedbórz"</f>
        <v>Samodzielny Zakład Opieki Zdrowotnej - Zakład Pielęgnacyjno-Opiekuńczy w Przedborzu, Częstochowska 25, 97-570 Przedbórz</v>
      </c>
      <c r="H297">
        <v>19</v>
      </c>
      <c r="I297">
        <v>19</v>
      </c>
      <c r="J297">
        <v>0</v>
      </c>
      <c r="K297">
        <v>19</v>
      </c>
      <c r="L297">
        <v>18</v>
      </c>
      <c r="M297">
        <v>1</v>
      </c>
      <c r="N297">
        <v>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1</v>
      </c>
      <c r="AC297">
        <v>0</v>
      </c>
      <c r="AD297">
        <v>1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1</v>
      </c>
      <c r="AR297">
        <v>0</v>
      </c>
      <c r="AS297">
        <v>0</v>
      </c>
      <c r="AT297">
        <v>1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1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0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</row>
    <row r="298" spans="1:172" ht="14.25">
      <c r="A298">
        <v>293</v>
      </c>
      <c r="B298" t="str">
        <f t="shared" si="53"/>
        <v>101211</v>
      </c>
      <c r="C298" t="str">
        <f t="shared" si="54"/>
        <v>Przedbórz</v>
      </c>
      <c r="D298" t="str">
        <f t="shared" si="52"/>
        <v>radomszczański</v>
      </c>
      <c r="E298" t="str">
        <f t="shared" si="49"/>
        <v>łódzkie</v>
      </c>
      <c r="F298">
        <v>7</v>
      </c>
      <c r="G298" t="s">
        <v>37</v>
      </c>
      <c r="H298">
        <v>60</v>
      </c>
      <c r="I298">
        <v>60</v>
      </c>
      <c r="J298">
        <v>0</v>
      </c>
      <c r="K298">
        <v>63</v>
      </c>
      <c r="L298">
        <v>47</v>
      </c>
      <c r="M298">
        <v>16</v>
      </c>
      <c r="N298">
        <v>16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16</v>
      </c>
      <c r="Z298">
        <v>0</v>
      </c>
      <c r="AA298">
        <v>0</v>
      </c>
      <c r="AB298">
        <v>16</v>
      </c>
      <c r="AC298">
        <v>2</v>
      </c>
      <c r="AD298">
        <v>14</v>
      </c>
      <c r="AE298">
        <v>3</v>
      </c>
      <c r="AF298">
        <v>0</v>
      </c>
      <c r="AG298">
        <v>2</v>
      </c>
      <c r="AH298">
        <v>1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3</v>
      </c>
      <c r="AQ298">
        <v>1</v>
      </c>
      <c r="AR298">
        <v>0</v>
      </c>
      <c r="AS298">
        <v>0</v>
      </c>
      <c r="AT298">
        <v>0</v>
      </c>
      <c r="AU298">
        <v>1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1</v>
      </c>
      <c r="BC298">
        <v>3</v>
      </c>
      <c r="BD298">
        <v>2</v>
      </c>
      <c r="BE298">
        <v>0</v>
      </c>
      <c r="BF298">
        <v>0</v>
      </c>
      <c r="BG298">
        <v>0</v>
      </c>
      <c r="BH298">
        <v>1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3</v>
      </c>
      <c r="BO298">
        <v>1</v>
      </c>
      <c r="BP298">
        <v>0</v>
      </c>
      <c r="BQ298">
        <v>0</v>
      </c>
      <c r="BR298">
        <v>0</v>
      </c>
      <c r="BS298">
        <v>0</v>
      </c>
      <c r="BT298">
        <v>1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1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6</v>
      </c>
      <c r="DL298">
        <v>3</v>
      </c>
      <c r="DM298">
        <v>1</v>
      </c>
      <c r="DN298">
        <v>1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1</v>
      </c>
      <c r="DU298">
        <v>0</v>
      </c>
      <c r="DV298">
        <v>6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0</v>
      </c>
      <c r="FO298">
        <v>0</v>
      </c>
      <c r="FP298">
        <v>0</v>
      </c>
    </row>
    <row r="299" spans="1:172" ht="14.25">
      <c r="A299">
        <v>294</v>
      </c>
      <c r="B299" t="str">
        <f aca="true" t="shared" si="55" ref="B299:B304">"101212"</f>
        <v>101212</v>
      </c>
      <c r="C299" t="str">
        <f aca="true" t="shared" si="56" ref="C299:C304">"Radomsko"</f>
        <v>Radomsko</v>
      </c>
      <c r="D299" t="str">
        <f t="shared" si="52"/>
        <v>radomszczański</v>
      </c>
      <c r="E299" t="str">
        <f t="shared" si="49"/>
        <v>łódzkie</v>
      </c>
      <c r="F299">
        <v>1</v>
      </c>
      <c r="G299" t="str">
        <f>"Publiczny Zespół Szkolno-Gimnazjalny, Dziepółć 97, 97-500 Radomsko"</f>
        <v>Publiczny Zespół Szkolno-Gimnazjalny, Dziepółć 97, 97-500 Radomsko</v>
      </c>
      <c r="H299">
        <v>602</v>
      </c>
      <c r="I299">
        <v>602</v>
      </c>
      <c r="J299">
        <v>0</v>
      </c>
      <c r="K299">
        <v>420</v>
      </c>
      <c r="L299">
        <v>296</v>
      </c>
      <c r="M299">
        <v>124</v>
      </c>
      <c r="N299">
        <v>124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124</v>
      </c>
      <c r="Z299">
        <v>0</v>
      </c>
      <c r="AA299">
        <v>0</v>
      </c>
      <c r="AB299">
        <v>124</v>
      </c>
      <c r="AC299">
        <v>3</v>
      </c>
      <c r="AD299">
        <v>121</v>
      </c>
      <c r="AE299">
        <v>5</v>
      </c>
      <c r="AF299">
        <v>2</v>
      </c>
      <c r="AG299">
        <v>1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2</v>
      </c>
      <c r="AO299">
        <v>0</v>
      </c>
      <c r="AP299">
        <v>5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7</v>
      </c>
      <c r="BD299">
        <v>4</v>
      </c>
      <c r="BE299">
        <v>1</v>
      </c>
      <c r="BF299">
        <v>0</v>
      </c>
      <c r="BG299">
        <v>0</v>
      </c>
      <c r="BH299">
        <v>1</v>
      </c>
      <c r="BI299">
        <v>0</v>
      </c>
      <c r="BJ299">
        <v>1</v>
      </c>
      <c r="BK299">
        <v>0</v>
      </c>
      <c r="BL299">
        <v>0</v>
      </c>
      <c r="BM299">
        <v>0</v>
      </c>
      <c r="BN299">
        <v>7</v>
      </c>
      <c r="BO299">
        <v>51</v>
      </c>
      <c r="BP299">
        <v>46</v>
      </c>
      <c r="BQ299">
        <v>2</v>
      </c>
      <c r="BR299">
        <v>0</v>
      </c>
      <c r="BS299">
        <v>0</v>
      </c>
      <c r="BT299">
        <v>0</v>
      </c>
      <c r="BU299">
        <v>1</v>
      </c>
      <c r="BV299">
        <v>0</v>
      </c>
      <c r="BW299">
        <v>1</v>
      </c>
      <c r="BX299">
        <v>0</v>
      </c>
      <c r="BY299">
        <v>1</v>
      </c>
      <c r="BZ299">
        <v>51</v>
      </c>
      <c r="CA299">
        <v>2</v>
      </c>
      <c r="CB299">
        <v>2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2</v>
      </c>
      <c r="CM299">
        <v>4</v>
      </c>
      <c r="CN299">
        <v>3</v>
      </c>
      <c r="CO299">
        <v>0</v>
      </c>
      <c r="CP299">
        <v>0</v>
      </c>
      <c r="CQ299">
        <v>1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4</v>
      </c>
      <c r="CY299">
        <v>7</v>
      </c>
      <c r="CZ299">
        <v>6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1</v>
      </c>
      <c r="DJ299">
        <v>7</v>
      </c>
      <c r="DK299">
        <v>28</v>
      </c>
      <c r="DL299">
        <v>12</v>
      </c>
      <c r="DM299">
        <v>10</v>
      </c>
      <c r="DN299">
        <v>0</v>
      </c>
      <c r="DO299">
        <v>0</v>
      </c>
      <c r="DP299">
        <v>0</v>
      </c>
      <c r="DQ299">
        <v>0</v>
      </c>
      <c r="DR299">
        <v>4</v>
      </c>
      <c r="DS299">
        <v>0</v>
      </c>
      <c r="DT299">
        <v>1</v>
      </c>
      <c r="DU299">
        <v>1</v>
      </c>
      <c r="DV299">
        <v>28</v>
      </c>
      <c r="DW299">
        <v>16</v>
      </c>
      <c r="DX299">
        <v>5</v>
      </c>
      <c r="DY299">
        <v>6</v>
      </c>
      <c r="DZ299">
        <v>0</v>
      </c>
      <c r="EA299">
        <v>0</v>
      </c>
      <c r="EB299">
        <v>3</v>
      </c>
      <c r="EC299">
        <v>0</v>
      </c>
      <c r="ED299">
        <v>0</v>
      </c>
      <c r="EE299">
        <v>1</v>
      </c>
      <c r="EF299">
        <v>1</v>
      </c>
      <c r="EG299">
        <v>0</v>
      </c>
      <c r="EH299">
        <v>16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1</v>
      </c>
      <c r="FF299">
        <v>0</v>
      </c>
      <c r="FG299">
        <v>0</v>
      </c>
      <c r="FH299">
        <v>0</v>
      </c>
      <c r="FI299">
        <v>1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0</v>
      </c>
      <c r="FP299">
        <v>1</v>
      </c>
    </row>
    <row r="300" spans="1:172" ht="14.25">
      <c r="A300">
        <v>295</v>
      </c>
      <c r="B300" t="str">
        <f t="shared" si="55"/>
        <v>101212</v>
      </c>
      <c r="C300" t="str">
        <f t="shared" si="56"/>
        <v>Radomsko</v>
      </c>
      <c r="D300" t="str">
        <f t="shared" si="52"/>
        <v>radomszczański</v>
      </c>
      <c r="E300" t="str">
        <f t="shared" si="49"/>
        <v>łódzkie</v>
      </c>
      <c r="F300">
        <v>2</v>
      </c>
      <c r="G300" t="str">
        <f>"Publiczny Zespół Szkolno-Gimnazjalny, ul. Radomszczańska 61, Kietlin, 97-500 Radomsko"</f>
        <v>Publiczny Zespół Szkolno-Gimnazjalny, ul. Radomszczańska 61, Kietlin, 97-500 Radomsko</v>
      </c>
      <c r="H300">
        <v>684</v>
      </c>
      <c r="I300">
        <v>684</v>
      </c>
      <c r="J300">
        <v>0</v>
      </c>
      <c r="K300">
        <v>481</v>
      </c>
      <c r="L300">
        <v>332</v>
      </c>
      <c r="M300">
        <v>149</v>
      </c>
      <c r="N300">
        <v>149</v>
      </c>
      <c r="O300">
        <v>0</v>
      </c>
      <c r="P300">
        <v>0</v>
      </c>
      <c r="Q300">
        <v>2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149</v>
      </c>
      <c r="Z300">
        <v>0</v>
      </c>
      <c r="AA300">
        <v>0</v>
      </c>
      <c r="AB300">
        <v>149</v>
      </c>
      <c r="AC300">
        <v>7</v>
      </c>
      <c r="AD300">
        <v>142</v>
      </c>
      <c r="AE300">
        <v>7</v>
      </c>
      <c r="AF300">
        <v>0</v>
      </c>
      <c r="AG300">
        <v>0</v>
      </c>
      <c r="AH300">
        <v>5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2</v>
      </c>
      <c r="AP300">
        <v>7</v>
      </c>
      <c r="AQ300">
        <v>2</v>
      </c>
      <c r="AR300">
        <v>0</v>
      </c>
      <c r="AS300">
        <v>1</v>
      </c>
      <c r="AT300">
        <v>0</v>
      </c>
      <c r="AU300">
        <v>0</v>
      </c>
      <c r="AV300">
        <v>0</v>
      </c>
      <c r="AW300">
        <v>0</v>
      </c>
      <c r="AX300">
        <v>1</v>
      </c>
      <c r="AY300">
        <v>0</v>
      </c>
      <c r="AZ300">
        <v>0</v>
      </c>
      <c r="BA300">
        <v>0</v>
      </c>
      <c r="BB300">
        <v>2</v>
      </c>
      <c r="BC300">
        <v>7</v>
      </c>
      <c r="BD300">
        <v>4</v>
      </c>
      <c r="BE300">
        <v>1</v>
      </c>
      <c r="BF300">
        <v>0</v>
      </c>
      <c r="BG300">
        <v>0</v>
      </c>
      <c r="BH300">
        <v>0</v>
      </c>
      <c r="BI300">
        <v>1</v>
      </c>
      <c r="BJ300">
        <v>0</v>
      </c>
      <c r="BK300">
        <v>0</v>
      </c>
      <c r="BL300">
        <v>0</v>
      </c>
      <c r="BM300">
        <v>1</v>
      </c>
      <c r="BN300">
        <v>7</v>
      </c>
      <c r="BO300">
        <v>79</v>
      </c>
      <c r="BP300">
        <v>77</v>
      </c>
      <c r="BQ300">
        <v>0</v>
      </c>
      <c r="BR300">
        <v>0</v>
      </c>
      <c r="BS300">
        <v>1</v>
      </c>
      <c r="BT300">
        <v>0</v>
      </c>
      <c r="BU300">
        <v>0</v>
      </c>
      <c r="BV300">
        <v>1</v>
      </c>
      <c r="BW300">
        <v>0</v>
      </c>
      <c r="BX300">
        <v>0</v>
      </c>
      <c r="BY300">
        <v>0</v>
      </c>
      <c r="BZ300">
        <v>79</v>
      </c>
      <c r="CA300">
        <v>3</v>
      </c>
      <c r="CB300">
        <v>1</v>
      </c>
      <c r="CC300">
        <v>1</v>
      </c>
      <c r="CD300">
        <v>0</v>
      </c>
      <c r="CE300">
        <v>1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3</v>
      </c>
      <c r="CM300">
        <v>3</v>
      </c>
      <c r="CN300">
        <v>1</v>
      </c>
      <c r="CO300">
        <v>1</v>
      </c>
      <c r="CP300">
        <v>0</v>
      </c>
      <c r="CQ300">
        <v>1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3</v>
      </c>
      <c r="CY300">
        <v>3</v>
      </c>
      <c r="CZ300">
        <v>1</v>
      </c>
      <c r="DA300">
        <v>1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1</v>
      </c>
      <c r="DJ300">
        <v>3</v>
      </c>
      <c r="DK300">
        <v>10</v>
      </c>
      <c r="DL300">
        <v>5</v>
      </c>
      <c r="DM300">
        <v>4</v>
      </c>
      <c r="DN300">
        <v>0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1</v>
      </c>
      <c r="DU300">
        <v>0</v>
      </c>
      <c r="DV300">
        <v>10</v>
      </c>
      <c r="DW300">
        <v>22</v>
      </c>
      <c r="DX300">
        <v>1</v>
      </c>
      <c r="DY300">
        <v>0</v>
      </c>
      <c r="DZ300">
        <v>0</v>
      </c>
      <c r="EA300">
        <v>0</v>
      </c>
      <c r="EB300">
        <v>20</v>
      </c>
      <c r="EC300">
        <v>1</v>
      </c>
      <c r="ED300">
        <v>0</v>
      </c>
      <c r="EE300">
        <v>0</v>
      </c>
      <c r="EF300">
        <v>0</v>
      </c>
      <c r="EG300">
        <v>0</v>
      </c>
      <c r="EH300">
        <v>22</v>
      </c>
      <c r="EI300">
        <v>4</v>
      </c>
      <c r="EJ300">
        <v>0</v>
      </c>
      <c r="EK300">
        <v>4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4</v>
      </c>
      <c r="ES300">
        <v>1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1</v>
      </c>
      <c r="FD300">
        <v>1</v>
      </c>
      <c r="FE300">
        <v>1</v>
      </c>
      <c r="FF300">
        <v>0</v>
      </c>
      <c r="FG300">
        <v>1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1</v>
      </c>
    </row>
    <row r="301" spans="1:172" ht="14.25">
      <c r="A301">
        <v>296</v>
      </c>
      <c r="B301" t="str">
        <f t="shared" si="55"/>
        <v>101212</v>
      </c>
      <c r="C301" t="str">
        <f t="shared" si="56"/>
        <v>Radomsko</v>
      </c>
      <c r="D301" t="str">
        <f t="shared" si="52"/>
        <v>radomszczański</v>
      </c>
      <c r="E301" t="str">
        <f t="shared" si="49"/>
        <v>łódzkie</v>
      </c>
      <c r="F301">
        <v>3</v>
      </c>
      <c r="G301" t="str">
        <f>"Publiczny Zespół Szkolno-Gimnazjalny, ul. Radomszczańska 41, Płoszów, 97-500 Radomsko"</f>
        <v>Publiczny Zespół Szkolno-Gimnazjalny, ul. Radomszczańska 41, Płoszów, 97-500 Radomsko</v>
      </c>
      <c r="H301">
        <v>690</v>
      </c>
      <c r="I301">
        <v>690</v>
      </c>
      <c r="J301">
        <v>0</v>
      </c>
      <c r="K301">
        <v>490</v>
      </c>
      <c r="L301">
        <v>391</v>
      </c>
      <c r="M301">
        <v>99</v>
      </c>
      <c r="N301">
        <v>99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99</v>
      </c>
      <c r="Z301">
        <v>0</v>
      </c>
      <c r="AA301">
        <v>0</v>
      </c>
      <c r="AB301">
        <v>99</v>
      </c>
      <c r="AC301">
        <v>7</v>
      </c>
      <c r="AD301">
        <v>92</v>
      </c>
      <c r="AE301">
        <v>5</v>
      </c>
      <c r="AF301">
        <v>1</v>
      </c>
      <c r="AG301">
        <v>0</v>
      </c>
      <c r="AH301">
        <v>4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5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6</v>
      </c>
      <c r="BD301">
        <v>3</v>
      </c>
      <c r="BE301">
        <v>2</v>
      </c>
      <c r="BF301">
        <v>1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6</v>
      </c>
      <c r="BO301">
        <v>42</v>
      </c>
      <c r="BP301">
        <v>37</v>
      </c>
      <c r="BQ301">
        <v>0</v>
      </c>
      <c r="BR301">
        <v>2</v>
      </c>
      <c r="BS301">
        <v>0</v>
      </c>
      <c r="BT301">
        <v>0</v>
      </c>
      <c r="BU301">
        <v>1</v>
      </c>
      <c r="BV301">
        <v>2</v>
      </c>
      <c r="BW301">
        <v>0</v>
      </c>
      <c r="BX301">
        <v>0</v>
      </c>
      <c r="BY301">
        <v>0</v>
      </c>
      <c r="BZ301">
        <v>42</v>
      </c>
      <c r="CA301">
        <v>6</v>
      </c>
      <c r="CB301">
        <v>2</v>
      </c>
      <c r="CC301">
        <v>1</v>
      </c>
      <c r="CD301">
        <v>0</v>
      </c>
      <c r="CE301">
        <v>1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2</v>
      </c>
      <c r="CL301">
        <v>6</v>
      </c>
      <c r="CM301">
        <v>1</v>
      </c>
      <c r="CN301">
        <v>1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1</v>
      </c>
      <c r="CY301">
        <v>6</v>
      </c>
      <c r="CZ301">
        <v>5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1</v>
      </c>
      <c r="DI301">
        <v>0</v>
      </c>
      <c r="DJ301">
        <v>6</v>
      </c>
      <c r="DK301">
        <v>10</v>
      </c>
      <c r="DL301">
        <v>5</v>
      </c>
      <c r="DM301">
        <v>5</v>
      </c>
      <c r="DN301">
        <v>0</v>
      </c>
      <c r="DO301">
        <v>0</v>
      </c>
      <c r="DP301">
        <v>0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10</v>
      </c>
      <c r="DW301">
        <v>13</v>
      </c>
      <c r="DX301">
        <v>5</v>
      </c>
      <c r="DY301">
        <v>4</v>
      </c>
      <c r="DZ301">
        <v>0</v>
      </c>
      <c r="EA301">
        <v>0</v>
      </c>
      <c r="EB301">
        <v>4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13</v>
      </c>
      <c r="EI301">
        <v>3</v>
      </c>
      <c r="EJ301">
        <v>0</v>
      </c>
      <c r="EK301">
        <v>3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3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</row>
    <row r="302" spans="1:172" ht="14.25">
      <c r="A302">
        <v>297</v>
      </c>
      <c r="B302" t="str">
        <f t="shared" si="55"/>
        <v>101212</v>
      </c>
      <c r="C302" t="str">
        <f t="shared" si="56"/>
        <v>Radomsko</v>
      </c>
      <c r="D302" t="str">
        <f t="shared" si="52"/>
        <v>radomszczański</v>
      </c>
      <c r="E302" t="str">
        <f t="shared" si="49"/>
        <v>łódzkie</v>
      </c>
      <c r="F302">
        <v>4</v>
      </c>
      <c r="G302" t="str">
        <f>"Publiczny Zespół Szkolno-Gimnazjalny, ul. Kolumba 2, Strzałków, 97-500 Radomsko"</f>
        <v>Publiczny Zespół Szkolno-Gimnazjalny, ul. Kolumba 2, Strzałków, 97-500 Radomsko</v>
      </c>
      <c r="H302">
        <v>931</v>
      </c>
      <c r="I302">
        <v>931</v>
      </c>
      <c r="J302">
        <v>0</v>
      </c>
      <c r="K302">
        <v>650</v>
      </c>
      <c r="L302">
        <v>513</v>
      </c>
      <c r="M302">
        <v>137</v>
      </c>
      <c r="N302">
        <v>137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137</v>
      </c>
      <c r="Z302">
        <v>0</v>
      </c>
      <c r="AA302">
        <v>0</v>
      </c>
      <c r="AB302">
        <v>137</v>
      </c>
      <c r="AC302">
        <v>7</v>
      </c>
      <c r="AD302">
        <v>130</v>
      </c>
      <c r="AE302">
        <v>18</v>
      </c>
      <c r="AF302">
        <v>1</v>
      </c>
      <c r="AG302">
        <v>0</v>
      </c>
      <c r="AH302">
        <v>14</v>
      </c>
      <c r="AI302">
        <v>0</v>
      </c>
      <c r="AJ302">
        <v>0</v>
      </c>
      <c r="AK302">
        <v>0</v>
      </c>
      <c r="AL302">
        <v>2</v>
      </c>
      <c r="AM302">
        <v>0</v>
      </c>
      <c r="AN302">
        <v>0</v>
      </c>
      <c r="AO302">
        <v>1</v>
      </c>
      <c r="AP302">
        <v>18</v>
      </c>
      <c r="AQ302">
        <v>1</v>
      </c>
      <c r="AR302">
        <v>0</v>
      </c>
      <c r="AS302">
        <v>0</v>
      </c>
      <c r="AT302">
        <v>1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1</v>
      </c>
      <c r="BC302">
        <v>10</v>
      </c>
      <c r="BD302">
        <v>4</v>
      </c>
      <c r="BE302">
        <v>3</v>
      </c>
      <c r="BF302">
        <v>1</v>
      </c>
      <c r="BG302">
        <v>0</v>
      </c>
      <c r="BH302">
        <v>1</v>
      </c>
      <c r="BI302">
        <v>0</v>
      </c>
      <c r="BJ302">
        <v>1</v>
      </c>
      <c r="BK302">
        <v>0</v>
      </c>
      <c r="BL302">
        <v>0</v>
      </c>
      <c r="BM302">
        <v>0</v>
      </c>
      <c r="BN302">
        <v>10</v>
      </c>
      <c r="BO302">
        <v>55</v>
      </c>
      <c r="BP302">
        <v>50</v>
      </c>
      <c r="BQ302">
        <v>0</v>
      </c>
      <c r="BR302">
        <v>0</v>
      </c>
      <c r="BS302">
        <v>1</v>
      </c>
      <c r="BT302">
        <v>2</v>
      </c>
      <c r="BU302">
        <v>0</v>
      </c>
      <c r="BV302">
        <v>0</v>
      </c>
      <c r="BW302">
        <v>0</v>
      </c>
      <c r="BX302">
        <v>0</v>
      </c>
      <c r="BY302">
        <v>2</v>
      </c>
      <c r="BZ302">
        <v>55</v>
      </c>
      <c r="CA302">
        <v>2</v>
      </c>
      <c r="CB302">
        <v>2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2</v>
      </c>
      <c r="CM302">
        <v>4</v>
      </c>
      <c r="CN302">
        <v>1</v>
      </c>
      <c r="CO302">
        <v>2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1</v>
      </c>
      <c r="CX302">
        <v>4</v>
      </c>
      <c r="CY302">
        <v>7</v>
      </c>
      <c r="CZ302">
        <v>5</v>
      </c>
      <c r="DA302">
        <v>0</v>
      </c>
      <c r="DB302">
        <v>0</v>
      </c>
      <c r="DC302">
        <v>1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1</v>
      </c>
      <c r="DJ302">
        <v>7</v>
      </c>
      <c r="DK302">
        <v>30</v>
      </c>
      <c r="DL302">
        <v>19</v>
      </c>
      <c r="DM302">
        <v>8</v>
      </c>
      <c r="DN302">
        <v>0</v>
      </c>
      <c r="DO302">
        <v>0</v>
      </c>
      <c r="DP302">
        <v>1</v>
      </c>
      <c r="DQ302">
        <v>0</v>
      </c>
      <c r="DR302">
        <v>0</v>
      </c>
      <c r="DS302">
        <v>0</v>
      </c>
      <c r="DT302">
        <v>1</v>
      </c>
      <c r="DU302">
        <v>1</v>
      </c>
      <c r="DV302">
        <v>30</v>
      </c>
      <c r="DW302">
        <v>3</v>
      </c>
      <c r="DX302">
        <v>2</v>
      </c>
      <c r="DY302">
        <v>1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3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0</v>
      </c>
      <c r="FO302">
        <v>0</v>
      </c>
      <c r="FP302">
        <v>0</v>
      </c>
    </row>
    <row r="303" spans="1:172" ht="14.25">
      <c r="A303">
        <v>298</v>
      </c>
      <c r="B303" t="str">
        <f t="shared" si="55"/>
        <v>101212</v>
      </c>
      <c r="C303" t="str">
        <f t="shared" si="56"/>
        <v>Radomsko</v>
      </c>
      <c r="D303" t="str">
        <f t="shared" si="52"/>
        <v>radomszczański</v>
      </c>
      <c r="E303" t="str">
        <f t="shared" si="49"/>
        <v>łódzkie</v>
      </c>
      <c r="F303">
        <v>5</v>
      </c>
      <c r="G303" t="str">
        <f>"Publiczny Zespół Szkolno-Gimnazjalny, ul. Kolumba 2, Strzałków, 97-500 Radomsko"</f>
        <v>Publiczny Zespół Szkolno-Gimnazjalny, ul. Kolumba 2, Strzałków, 97-500 Radomsko</v>
      </c>
      <c r="H303">
        <v>674</v>
      </c>
      <c r="I303">
        <v>674</v>
      </c>
      <c r="J303">
        <v>0</v>
      </c>
      <c r="K303">
        <v>470</v>
      </c>
      <c r="L303">
        <v>350</v>
      </c>
      <c r="M303">
        <v>120</v>
      </c>
      <c r="N303">
        <v>120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120</v>
      </c>
      <c r="Z303">
        <v>0</v>
      </c>
      <c r="AA303">
        <v>0</v>
      </c>
      <c r="AB303">
        <v>120</v>
      </c>
      <c r="AC303">
        <v>4</v>
      </c>
      <c r="AD303">
        <v>116</v>
      </c>
      <c r="AE303">
        <v>15</v>
      </c>
      <c r="AF303">
        <v>2</v>
      </c>
      <c r="AG303">
        <v>0</v>
      </c>
      <c r="AH303">
        <v>11</v>
      </c>
      <c r="AI303">
        <v>0</v>
      </c>
      <c r="AJ303">
        <v>0</v>
      </c>
      <c r="AK303">
        <v>0</v>
      </c>
      <c r="AL303">
        <v>1</v>
      </c>
      <c r="AM303">
        <v>0</v>
      </c>
      <c r="AN303">
        <v>1</v>
      </c>
      <c r="AO303">
        <v>0</v>
      </c>
      <c r="AP303">
        <v>15</v>
      </c>
      <c r="AQ303">
        <v>2</v>
      </c>
      <c r="AR303">
        <v>0</v>
      </c>
      <c r="AS303">
        <v>0</v>
      </c>
      <c r="AT303">
        <v>1</v>
      </c>
      <c r="AU303">
        <v>0</v>
      </c>
      <c r="AV303">
        <v>0</v>
      </c>
      <c r="AW303">
        <v>0</v>
      </c>
      <c r="AX303">
        <v>0</v>
      </c>
      <c r="AY303">
        <v>1</v>
      </c>
      <c r="AZ303">
        <v>0</v>
      </c>
      <c r="BA303">
        <v>0</v>
      </c>
      <c r="BB303">
        <v>2</v>
      </c>
      <c r="BC303">
        <v>10</v>
      </c>
      <c r="BD303">
        <v>4</v>
      </c>
      <c r="BE303">
        <v>1</v>
      </c>
      <c r="BF303">
        <v>0</v>
      </c>
      <c r="BG303">
        <v>0</v>
      </c>
      <c r="BH303">
        <v>4</v>
      </c>
      <c r="BI303">
        <v>0</v>
      </c>
      <c r="BJ303">
        <v>1</v>
      </c>
      <c r="BK303">
        <v>0</v>
      </c>
      <c r="BL303">
        <v>0</v>
      </c>
      <c r="BM303">
        <v>0</v>
      </c>
      <c r="BN303">
        <v>10</v>
      </c>
      <c r="BO303">
        <v>43</v>
      </c>
      <c r="BP303">
        <v>36</v>
      </c>
      <c r="BQ303">
        <v>0</v>
      </c>
      <c r="BR303">
        <v>2</v>
      </c>
      <c r="BS303">
        <v>1</v>
      </c>
      <c r="BT303">
        <v>1</v>
      </c>
      <c r="BU303">
        <v>0</v>
      </c>
      <c r="BV303">
        <v>0</v>
      </c>
      <c r="BW303">
        <v>0</v>
      </c>
      <c r="BX303">
        <v>1</v>
      </c>
      <c r="BY303">
        <v>2</v>
      </c>
      <c r="BZ303">
        <v>43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1</v>
      </c>
      <c r="CN303">
        <v>0</v>
      </c>
      <c r="CO303">
        <v>1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1</v>
      </c>
      <c r="CY303">
        <v>14</v>
      </c>
      <c r="CZ303">
        <v>10</v>
      </c>
      <c r="DA303">
        <v>0</v>
      </c>
      <c r="DB303">
        <v>0</v>
      </c>
      <c r="DC303">
        <v>1</v>
      </c>
      <c r="DD303">
        <v>0</v>
      </c>
      <c r="DE303">
        <v>1</v>
      </c>
      <c r="DF303">
        <v>0</v>
      </c>
      <c r="DG303">
        <v>0</v>
      </c>
      <c r="DH303">
        <v>1</v>
      </c>
      <c r="DI303">
        <v>1</v>
      </c>
      <c r="DJ303">
        <v>14</v>
      </c>
      <c r="DK303">
        <v>21</v>
      </c>
      <c r="DL303">
        <v>10</v>
      </c>
      <c r="DM303">
        <v>10</v>
      </c>
      <c r="DN303">
        <v>0</v>
      </c>
      <c r="DO303">
        <v>0</v>
      </c>
      <c r="DP303">
        <v>1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21</v>
      </c>
      <c r="DW303">
        <v>7</v>
      </c>
      <c r="DX303">
        <v>2</v>
      </c>
      <c r="DY303">
        <v>4</v>
      </c>
      <c r="DZ303">
        <v>0</v>
      </c>
      <c r="EA303">
        <v>0</v>
      </c>
      <c r="EB303">
        <v>1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7</v>
      </c>
      <c r="EI303">
        <v>1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1</v>
      </c>
      <c r="ER303">
        <v>1</v>
      </c>
      <c r="ES303">
        <v>1</v>
      </c>
      <c r="ET303">
        <v>0</v>
      </c>
      <c r="EU303">
        <v>0</v>
      </c>
      <c r="EV303">
        <v>1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1</v>
      </c>
      <c r="FE303">
        <v>1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1</v>
      </c>
      <c r="FP303">
        <v>1</v>
      </c>
    </row>
    <row r="304" spans="1:172" ht="14.25">
      <c r="A304">
        <v>299</v>
      </c>
      <c r="B304" t="str">
        <f t="shared" si="55"/>
        <v>101212</v>
      </c>
      <c r="C304" t="str">
        <f t="shared" si="56"/>
        <v>Radomsko</v>
      </c>
      <c r="D304" t="str">
        <f t="shared" si="52"/>
        <v>radomszczański</v>
      </c>
      <c r="E304" t="str">
        <f t="shared" si="49"/>
        <v>łódzkie</v>
      </c>
      <c r="F304">
        <v>6</v>
      </c>
      <c r="G304" t="str">
        <f>"Publiczny Zespół Szkolno-Gimnazjalny, Szczepocice Rządowe 19C, 97-500 Radomsko"</f>
        <v>Publiczny Zespół Szkolno-Gimnazjalny, Szczepocice Rządowe 19C, 97-500 Radomsko</v>
      </c>
      <c r="H304">
        <v>957</v>
      </c>
      <c r="I304">
        <v>957</v>
      </c>
      <c r="J304">
        <v>0</v>
      </c>
      <c r="K304">
        <v>680</v>
      </c>
      <c r="L304">
        <v>523</v>
      </c>
      <c r="M304">
        <v>157</v>
      </c>
      <c r="N304">
        <v>157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157</v>
      </c>
      <c r="Z304">
        <v>0</v>
      </c>
      <c r="AA304">
        <v>0</v>
      </c>
      <c r="AB304">
        <v>157</v>
      </c>
      <c r="AC304">
        <v>6</v>
      </c>
      <c r="AD304">
        <v>151</v>
      </c>
      <c r="AE304">
        <v>4</v>
      </c>
      <c r="AF304">
        <v>2</v>
      </c>
      <c r="AG304">
        <v>0</v>
      </c>
      <c r="AH304">
        <v>2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4</v>
      </c>
      <c r="AQ304">
        <v>1</v>
      </c>
      <c r="AR304">
        <v>1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1</v>
      </c>
      <c r="BC304">
        <v>6</v>
      </c>
      <c r="BD304">
        <v>3</v>
      </c>
      <c r="BE304">
        <v>0</v>
      </c>
      <c r="BF304">
        <v>0</v>
      </c>
      <c r="BG304">
        <v>0</v>
      </c>
      <c r="BH304">
        <v>1</v>
      </c>
      <c r="BI304">
        <v>1</v>
      </c>
      <c r="BJ304">
        <v>1</v>
      </c>
      <c r="BK304">
        <v>0</v>
      </c>
      <c r="BL304">
        <v>0</v>
      </c>
      <c r="BM304">
        <v>0</v>
      </c>
      <c r="BN304">
        <v>6</v>
      </c>
      <c r="BO304">
        <v>79</v>
      </c>
      <c r="BP304">
        <v>75</v>
      </c>
      <c r="BQ304">
        <v>0</v>
      </c>
      <c r="BR304">
        <v>0</v>
      </c>
      <c r="BS304">
        <v>1</v>
      </c>
      <c r="BT304">
        <v>0</v>
      </c>
      <c r="BU304">
        <v>1</v>
      </c>
      <c r="BV304">
        <v>1</v>
      </c>
      <c r="BW304">
        <v>0</v>
      </c>
      <c r="BX304">
        <v>0</v>
      </c>
      <c r="BY304">
        <v>1</v>
      </c>
      <c r="BZ304">
        <v>79</v>
      </c>
      <c r="CA304">
        <v>2</v>
      </c>
      <c r="CB304">
        <v>1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1</v>
      </c>
      <c r="CJ304">
        <v>0</v>
      </c>
      <c r="CK304">
        <v>0</v>
      </c>
      <c r="CL304">
        <v>2</v>
      </c>
      <c r="CM304">
        <v>2</v>
      </c>
      <c r="CN304">
        <v>2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2</v>
      </c>
      <c r="CY304">
        <v>5</v>
      </c>
      <c r="CZ304">
        <v>1</v>
      </c>
      <c r="DA304">
        <v>0</v>
      </c>
      <c r="DB304">
        <v>1</v>
      </c>
      <c r="DC304">
        <v>1</v>
      </c>
      <c r="DD304">
        <v>0</v>
      </c>
      <c r="DE304">
        <v>0</v>
      </c>
      <c r="DF304">
        <v>2</v>
      </c>
      <c r="DG304">
        <v>0</v>
      </c>
      <c r="DH304">
        <v>0</v>
      </c>
      <c r="DI304">
        <v>0</v>
      </c>
      <c r="DJ304">
        <v>5</v>
      </c>
      <c r="DK304">
        <v>38</v>
      </c>
      <c r="DL304">
        <v>20</v>
      </c>
      <c r="DM304">
        <v>13</v>
      </c>
      <c r="DN304">
        <v>0</v>
      </c>
      <c r="DO304">
        <v>1</v>
      </c>
      <c r="DP304">
        <v>1</v>
      </c>
      <c r="DQ304">
        <v>0</v>
      </c>
      <c r="DR304">
        <v>2</v>
      </c>
      <c r="DS304">
        <v>1</v>
      </c>
      <c r="DT304">
        <v>0</v>
      </c>
      <c r="DU304">
        <v>0</v>
      </c>
      <c r="DV304">
        <v>38</v>
      </c>
      <c r="DW304">
        <v>10</v>
      </c>
      <c r="DX304">
        <v>4</v>
      </c>
      <c r="DY304">
        <v>4</v>
      </c>
      <c r="DZ304">
        <v>0</v>
      </c>
      <c r="EA304">
        <v>0</v>
      </c>
      <c r="EB304">
        <v>2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10</v>
      </c>
      <c r="EI304">
        <v>2</v>
      </c>
      <c r="EJ304">
        <v>0</v>
      </c>
      <c r="EK304">
        <v>1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1</v>
      </c>
      <c r="ER304">
        <v>2</v>
      </c>
      <c r="ES304">
        <v>1</v>
      </c>
      <c r="ET304">
        <v>1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1</v>
      </c>
      <c r="FE304">
        <v>1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1</v>
      </c>
      <c r="FO304">
        <v>0</v>
      </c>
      <c r="FP304">
        <v>1</v>
      </c>
    </row>
    <row r="305" spans="1:172" ht="14.25">
      <c r="A305">
        <v>300</v>
      </c>
      <c r="B305" t="str">
        <f aca="true" t="shared" si="57" ref="B305:B310">"101213"</f>
        <v>101213</v>
      </c>
      <c r="C305" t="str">
        <f aca="true" t="shared" si="58" ref="C305:C310">"Wielgomłyny"</f>
        <v>Wielgomłyny</v>
      </c>
      <c r="D305" t="str">
        <f t="shared" si="52"/>
        <v>radomszczański</v>
      </c>
      <c r="E305" t="str">
        <f t="shared" si="49"/>
        <v>łódzkie</v>
      </c>
      <c r="F305">
        <v>1</v>
      </c>
      <c r="G305" t="str">
        <f>"Publiczna Szkoła Podstawowa, ul. Stodolna 22, Krzętów, 97-525 Wielgomłyny"</f>
        <v>Publiczna Szkoła Podstawowa, ul. Stodolna 22, Krzętów, 97-525 Wielgomłyny</v>
      </c>
      <c r="H305">
        <v>797</v>
      </c>
      <c r="I305">
        <v>797</v>
      </c>
      <c r="J305">
        <v>0</v>
      </c>
      <c r="K305">
        <v>560</v>
      </c>
      <c r="L305">
        <v>460</v>
      </c>
      <c r="M305">
        <v>100</v>
      </c>
      <c r="N305">
        <v>100</v>
      </c>
      <c r="O305">
        <v>0</v>
      </c>
      <c r="P305">
        <v>0</v>
      </c>
      <c r="Q305">
        <v>2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100</v>
      </c>
      <c r="Z305">
        <v>0</v>
      </c>
      <c r="AA305">
        <v>0</v>
      </c>
      <c r="AB305">
        <v>100</v>
      </c>
      <c r="AC305">
        <v>10</v>
      </c>
      <c r="AD305">
        <v>90</v>
      </c>
      <c r="AE305">
        <v>8</v>
      </c>
      <c r="AF305">
        <v>1</v>
      </c>
      <c r="AG305">
        <v>0</v>
      </c>
      <c r="AH305">
        <v>5</v>
      </c>
      <c r="AI305">
        <v>0</v>
      </c>
      <c r="AJ305">
        <v>1</v>
      </c>
      <c r="AK305">
        <v>0</v>
      </c>
      <c r="AL305">
        <v>0</v>
      </c>
      <c r="AM305">
        <v>0</v>
      </c>
      <c r="AN305">
        <v>1</v>
      </c>
      <c r="AO305">
        <v>0</v>
      </c>
      <c r="AP305">
        <v>8</v>
      </c>
      <c r="AQ305">
        <v>1</v>
      </c>
      <c r="AR305">
        <v>0</v>
      </c>
      <c r="AS305">
        <v>1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1</v>
      </c>
      <c r="BC305">
        <v>3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3</v>
      </c>
      <c r="BN305">
        <v>3</v>
      </c>
      <c r="BO305">
        <v>32</v>
      </c>
      <c r="BP305">
        <v>29</v>
      </c>
      <c r="BQ305">
        <v>0</v>
      </c>
      <c r="BR305">
        <v>0</v>
      </c>
      <c r="BS305">
        <v>2</v>
      </c>
      <c r="BT305">
        <v>0</v>
      </c>
      <c r="BU305">
        <v>0</v>
      </c>
      <c r="BV305">
        <v>1</v>
      </c>
      <c r="BW305">
        <v>0</v>
      </c>
      <c r="BX305">
        <v>0</v>
      </c>
      <c r="BY305">
        <v>0</v>
      </c>
      <c r="BZ305">
        <v>32</v>
      </c>
      <c r="CA305">
        <v>7</v>
      </c>
      <c r="CB305">
        <v>2</v>
      </c>
      <c r="CC305">
        <v>4</v>
      </c>
      <c r="CD305">
        <v>1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7</v>
      </c>
      <c r="CM305">
        <v>2</v>
      </c>
      <c r="CN305">
        <v>2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2</v>
      </c>
      <c r="CY305">
        <v>4</v>
      </c>
      <c r="CZ305">
        <v>4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4</v>
      </c>
      <c r="DK305">
        <v>10</v>
      </c>
      <c r="DL305">
        <v>5</v>
      </c>
      <c r="DM305">
        <v>4</v>
      </c>
      <c r="DN305">
        <v>0</v>
      </c>
      <c r="DO305">
        <v>1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10</v>
      </c>
      <c r="DW305">
        <v>23</v>
      </c>
      <c r="DX305">
        <v>1</v>
      </c>
      <c r="DY305">
        <v>18</v>
      </c>
      <c r="DZ305">
        <v>0</v>
      </c>
      <c r="EA305">
        <v>0</v>
      </c>
      <c r="EB305">
        <v>3</v>
      </c>
      <c r="EC305">
        <v>0</v>
      </c>
      <c r="ED305">
        <v>0</v>
      </c>
      <c r="EE305">
        <v>0</v>
      </c>
      <c r="EF305">
        <v>0</v>
      </c>
      <c r="EG305">
        <v>1</v>
      </c>
      <c r="EH305">
        <v>23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0</v>
      </c>
      <c r="FO305">
        <v>0</v>
      </c>
      <c r="FP305">
        <v>0</v>
      </c>
    </row>
    <row r="306" spans="1:172" ht="14.25">
      <c r="A306">
        <v>301</v>
      </c>
      <c r="B306" t="str">
        <f t="shared" si="57"/>
        <v>101213</v>
      </c>
      <c r="C306" t="str">
        <f t="shared" si="58"/>
        <v>Wielgomłyny</v>
      </c>
      <c r="D306" t="str">
        <f t="shared" si="52"/>
        <v>radomszczański</v>
      </c>
      <c r="E306" t="str">
        <f t="shared" si="49"/>
        <v>łódzkie</v>
      </c>
      <c r="F306">
        <v>2</v>
      </c>
      <c r="G306" t="str">
        <f>"Remiza OSP, Sokola Góra 47, 97-525 Wielgomłyny"</f>
        <v>Remiza OSP, Sokola Góra 47, 97-525 Wielgomłyny</v>
      </c>
      <c r="H306">
        <v>570</v>
      </c>
      <c r="I306">
        <v>570</v>
      </c>
      <c r="J306">
        <v>0</v>
      </c>
      <c r="K306">
        <v>400</v>
      </c>
      <c r="L306">
        <v>274</v>
      </c>
      <c r="M306">
        <v>126</v>
      </c>
      <c r="N306">
        <v>126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126</v>
      </c>
      <c r="Z306">
        <v>0</v>
      </c>
      <c r="AA306">
        <v>0</v>
      </c>
      <c r="AB306">
        <v>126</v>
      </c>
      <c r="AC306">
        <v>2</v>
      </c>
      <c r="AD306">
        <v>124</v>
      </c>
      <c r="AE306">
        <v>4</v>
      </c>
      <c r="AF306">
        <v>0</v>
      </c>
      <c r="AG306">
        <v>0</v>
      </c>
      <c r="AH306">
        <v>4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4</v>
      </c>
      <c r="AQ306">
        <v>1</v>
      </c>
      <c r="AR306">
        <v>0</v>
      </c>
      <c r="AS306">
        <v>1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1</v>
      </c>
      <c r="BC306">
        <v>4</v>
      </c>
      <c r="BD306">
        <v>1</v>
      </c>
      <c r="BE306">
        <v>2</v>
      </c>
      <c r="BF306">
        <v>0</v>
      </c>
      <c r="BG306">
        <v>0</v>
      </c>
      <c r="BH306">
        <v>1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4</v>
      </c>
      <c r="BO306">
        <v>42</v>
      </c>
      <c r="BP306">
        <v>38</v>
      </c>
      <c r="BQ306">
        <v>0</v>
      </c>
      <c r="BR306">
        <v>0</v>
      </c>
      <c r="BS306">
        <v>0</v>
      </c>
      <c r="BT306">
        <v>0</v>
      </c>
      <c r="BU306">
        <v>4</v>
      </c>
      <c r="BV306">
        <v>0</v>
      </c>
      <c r="BW306">
        <v>0</v>
      </c>
      <c r="BX306">
        <v>0</v>
      </c>
      <c r="BY306">
        <v>0</v>
      </c>
      <c r="BZ306">
        <v>42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1</v>
      </c>
      <c r="CN306">
        <v>0</v>
      </c>
      <c r="CO306">
        <v>0</v>
      </c>
      <c r="CP306">
        <v>1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1</v>
      </c>
      <c r="CY306">
        <v>2</v>
      </c>
      <c r="CZ306">
        <v>0</v>
      </c>
      <c r="DA306">
        <v>1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1</v>
      </c>
      <c r="DJ306">
        <v>2</v>
      </c>
      <c r="DK306">
        <v>6</v>
      </c>
      <c r="DL306">
        <v>3</v>
      </c>
      <c r="DM306">
        <v>2</v>
      </c>
      <c r="DN306">
        <v>0</v>
      </c>
      <c r="DO306">
        <v>0</v>
      </c>
      <c r="DP306">
        <v>1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6</v>
      </c>
      <c r="DW306">
        <v>60</v>
      </c>
      <c r="DX306">
        <v>9</v>
      </c>
      <c r="DY306">
        <v>45</v>
      </c>
      <c r="DZ306">
        <v>0</v>
      </c>
      <c r="EA306">
        <v>0</v>
      </c>
      <c r="EB306">
        <v>1</v>
      </c>
      <c r="EC306">
        <v>0</v>
      </c>
      <c r="ED306">
        <v>0</v>
      </c>
      <c r="EE306">
        <v>5</v>
      </c>
      <c r="EF306">
        <v>0</v>
      </c>
      <c r="EG306">
        <v>0</v>
      </c>
      <c r="EH306">
        <v>60</v>
      </c>
      <c r="EI306">
        <v>2</v>
      </c>
      <c r="EJ306">
        <v>0</v>
      </c>
      <c r="EK306">
        <v>2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2</v>
      </c>
      <c r="ES306">
        <v>0</v>
      </c>
      <c r="ET306">
        <v>0</v>
      </c>
      <c r="EU306">
        <v>0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2</v>
      </c>
      <c r="FF306">
        <v>0</v>
      </c>
      <c r="FG306">
        <v>0</v>
      </c>
      <c r="FH306">
        <v>0</v>
      </c>
      <c r="FI306">
        <v>0</v>
      </c>
      <c r="FJ306">
        <v>0</v>
      </c>
      <c r="FK306">
        <v>0</v>
      </c>
      <c r="FL306">
        <v>2</v>
      </c>
      <c r="FM306">
        <v>0</v>
      </c>
      <c r="FN306">
        <v>0</v>
      </c>
      <c r="FO306">
        <v>0</v>
      </c>
      <c r="FP306">
        <v>2</v>
      </c>
    </row>
    <row r="307" spans="1:172" ht="14.25">
      <c r="A307">
        <v>302</v>
      </c>
      <c r="B307" t="str">
        <f t="shared" si="57"/>
        <v>101213</v>
      </c>
      <c r="C307" t="str">
        <f t="shared" si="58"/>
        <v>Wielgomłyny</v>
      </c>
      <c r="D307" t="str">
        <f t="shared" si="52"/>
        <v>radomszczański</v>
      </c>
      <c r="E307" t="str">
        <f t="shared" si="49"/>
        <v>łódzkie</v>
      </c>
      <c r="F307">
        <v>3</v>
      </c>
      <c r="G307" t="str">
        <f>"Gminny Ośrodek Kultury w Wielgomłynach (parter), ul. Rynek 1, 97-525 Wielgomłyny"</f>
        <v>Gminny Ośrodek Kultury w Wielgomłynach (parter), ul. Rynek 1, 97-525 Wielgomłyny</v>
      </c>
      <c r="H307">
        <v>443</v>
      </c>
      <c r="I307">
        <v>443</v>
      </c>
      <c r="J307">
        <v>0</v>
      </c>
      <c r="K307">
        <v>310</v>
      </c>
      <c r="L307">
        <v>251</v>
      </c>
      <c r="M307">
        <v>59</v>
      </c>
      <c r="N307">
        <v>59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59</v>
      </c>
      <c r="Z307">
        <v>0</v>
      </c>
      <c r="AA307">
        <v>0</v>
      </c>
      <c r="AB307">
        <v>59</v>
      </c>
      <c r="AC307">
        <v>4</v>
      </c>
      <c r="AD307">
        <v>55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2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1</v>
      </c>
      <c r="AY307">
        <v>0</v>
      </c>
      <c r="AZ307">
        <v>0</v>
      </c>
      <c r="BA307">
        <v>1</v>
      </c>
      <c r="BB307">
        <v>2</v>
      </c>
      <c r="BC307">
        <v>1</v>
      </c>
      <c r="BD307">
        <v>0</v>
      </c>
      <c r="BE307">
        <v>0</v>
      </c>
      <c r="BF307">
        <v>0</v>
      </c>
      <c r="BG307">
        <v>0</v>
      </c>
      <c r="BH307">
        <v>1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1</v>
      </c>
      <c r="BO307">
        <v>12</v>
      </c>
      <c r="BP307">
        <v>7</v>
      </c>
      <c r="BQ307">
        <v>0</v>
      </c>
      <c r="BR307">
        <v>0</v>
      </c>
      <c r="BS307">
        <v>3</v>
      </c>
      <c r="BT307">
        <v>0</v>
      </c>
      <c r="BU307">
        <v>1</v>
      </c>
      <c r="BV307">
        <v>0</v>
      </c>
      <c r="BW307">
        <v>1</v>
      </c>
      <c r="BX307">
        <v>0</v>
      </c>
      <c r="BY307">
        <v>0</v>
      </c>
      <c r="BZ307">
        <v>12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4</v>
      </c>
      <c r="DL307">
        <v>4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4</v>
      </c>
      <c r="DW307">
        <v>36</v>
      </c>
      <c r="DX307">
        <v>0</v>
      </c>
      <c r="DY307">
        <v>31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5</v>
      </c>
      <c r="EF307">
        <v>0</v>
      </c>
      <c r="EG307">
        <v>0</v>
      </c>
      <c r="EH307">
        <v>36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0</v>
      </c>
      <c r="FN307">
        <v>0</v>
      </c>
      <c r="FO307">
        <v>0</v>
      </c>
      <c r="FP307">
        <v>0</v>
      </c>
    </row>
    <row r="308" spans="1:172" ht="14.25">
      <c r="A308">
        <v>303</v>
      </c>
      <c r="B308" t="str">
        <f t="shared" si="57"/>
        <v>101213</v>
      </c>
      <c r="C308" t="str">
        <f t="shared" si="58"/>
        <v>Wielgomłyny</v>
      </c>
      <c r="D308" t="str">
        <f t="shared" si="52"/>
        <v>radomszczański</v>
      </c>
      <c r="E308" t="str">
        <f t="shared" si="49"/>
        <v>łódzkie</v>
      </c>
      <c r="F308">
        <v>4</v>
      </c>
      <c r="G308" t="str">
        <f>"Sala Obrad w Urzędzie Gminy w Wielgomłynach (I piętro), ul. Rynek 1, 97-525 Wielgomłyny"</f>
        <v>Sala Obrad w Urzędzie Gminy w Wielgomłynach (I piętro), ul. Rynek 1, 97-525 Wielgomłyny</v>
      </c>
      <c r="H308">
        <v>891</v>
      </c>
      <c r="I308">
        <v>891</v>
      </c>
      <c r="J308">
        <v>0</v>
      </c>
      <c r="K308">
        <v>630</v>
      </c>
      <c r="L308">
        <v>476</v>
      </c>
      <c r="M308">
        <v>154</v>
      </c>
      <c r="N308">
        <v>154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154</v>
      </c>
      <c r="Z308">
        <v>0</v>
      </c>
      <c r="AA308">
        <v>0</v>
      </c>
      <c r="AB308">
        <v>154</v>
      </c>
      <c r="AC308">
        <v>14</v>
      </c>
      <c r="AD308">
        <v>140</v>
      </c>
      <c r="AE308">
        <v>9</v>
      </c>
      <c r="AF308">
        <v>0</v>
      </c>
      <c r="AG308">
        <v>0</v>
      </c>
      <c r="AH308">
        <v>8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1</v>
      </c>
      <c r="AO308">
        <v>0</v>
      </c>
      <c r="AP308">
        <v>9</v>
      </c>
      <c r="AQ308">
        <v>1</v>
      </c>
      <c r="AR308">
        <v>1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1</v>
      </c>
      <c r="BC308">
        <v>8</v>
      </c>
      <c r="BD308">
        <v>3</v>
      </c>
      <c r="BE308">
        <v>2</v>
      </c>
      <c r="BF308">
        <v>0</v>
      </c>
      <c r="BG308">
        <v>0</v>
      </c>
      <c r="BH308">
        <v>0</v>
      </c>
      <c r="BI308">
        <v>1</v>
      </c>
      <c r="BJ308">
        <v>0</v>
      </c>
      <c r="BK308">
        <v>0</v>
      </c>
      <c r="BL308">
        <v>0</v>
      </c>
      <c r="BM308">
        <v>2</v>
      </c>
      <c r="BN308">
        <v>8</v>
      </c>
      <c r="BO308">
        <v>42</v>
      </c>
      <c r="BP308">
        <v>31</v>
      </c>
      <c r="BQ308">
        <v>4</v>
      </c>
      <c r="BR308">
        <v>1</v>
      </c>
      <c r="BS308">
        <v>3</v>
      </c>
      <c r="BT308">
        <v>0</v>
      </c>
      <c r="BU308">
        <v>1</v>
      </c>
      <c r="BV308">
        <v>0</v>
      </c>
      <c r="BW308">
        <v>1</v>
      </c>
      <c r="BX308">
        <v>0</v>
      </c>
      <c r="BY308">
        <v>1</v>
      </c>
      <c r="BZ308">
        <v>42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2</v>
      </c>
      <c r="CN308">
        <v>2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2</v>
      </c>
      <c r="CY308">
        <v>7</v>
      </c>
      <c r="CZ308">
        <v>6</v>
      </c>
      <c r="DA308">
        <v>1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7</v>
      </c>
      <c r="DK308">
        <v>16</v>
      </c>
      <c r="DL308">
        <v>13</v>
      </c>
      <c r="DM308">
        <v>1</v>
      </c>
      <c r="DN308">
        <v>0</v>
      </c>
      <c r="DO308">
        <v>0</v>
      </c>
      <c r="DP308">
        <v>2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16</v>
      </c>
      <c r="DW308">
        <v>51</v>
      </c>
      <c r="DX308">
        <v>0</v>
      </c>
      <c r="DY308">
        <v>28</v>
      </c>
      <c r="DZ308">
        <v>1</v>
      </c>
      <c r="EA308">
        <v>0</v>
      </c>
      <c r="EB308">
        <v>1</v>
      </c>
      <c r="EC308">
        <v>0</v>
      </c>
      <c r="ED308">
        <v>0</v>
      </c>
      <c r="EE308">
        <v>14</v>
      </c>
      <c r="EF308">
        <v>7</v>
      </c>
      <c r="EG308">
        <v>0</v>
      </c>
      <c r="EH308">
        <v>51</v>
      </c>
      <c r="EI308">
        <v>1</v>
      </c>
      <c r="EJ308">
        <v>0</v>
      </c>
      <c r="EK308">
        <v>1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1</v>
      </c>
      <c r="ES308">
        <v>1</v>
      </c>
      <c r="ET308">
        <v>0</v>
      </c>
      <c r="EU308">
        <v>0</v>
      </c>
      <c r="EV308">
        <v>0</v>
      </c>
      <c r="EW308">
        <v>0</v>
      </c>
      <c r="EX308">
        <v>1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1</v>
      </c>
      <c r="FE308">
        <v>2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2</v>
      </c>
      <c r="FN308">
        <v>0</v>
      </c>
      <c r="FO308">
        <v>0</v>
      </c>
      <c r="FP308">
        <v>2</v>
      </c>
    </row>
    <row r="309" spans="1:172" ht="14.25">
      <c r="A309">
        <v>304</v>
      </c>
      <c r="B309" t="str">
        <f t="shared" si="57"/>
        <v>101213</v>
      </c>
      <c r="C309" t="str">
        <f t="shared" si="58"/>
        <v>Wielgomłyny</v>
      </c>
      <c r="D309" t="str">
        <f t="shared" si="52"/>
        <v>radomszczański</v>
      </c>
      <c r="E309" t="str">
        <f t="shared" si="49"/>
        <v>łódzkie</v>
      </c>
      <c r="F309">
        <v>5</v>
      </c>
      <c r="G309" t="str">
        <f>"Publiczna Szkoła Podstawowa, Zagórze 30, 97-525 Wielgomłyny"</f>
        <v>Publiczna Szkoła Podstawowa, Zagórze 30, 97-525 Wielgomłyny</v>
      </c>
      <c r="H309">
        <v>684</v>
      </c>
      <c r="I309">
        <v>684</v>
      </c>
      <c r="J309">
        <v>0</v>
      </c>
      <c r="K309">
        <v>480</v>
      </c>
      <c r="L309">
        <v>389</v>
      </c>
      <c r="M309">
        <v>91</v>
      </c>
      <c r="N309">
        <v>91</v>
      </c>
      <c r="O309">
        <v>0</v>
      </c>
      <c r="P309">
        <v>0</v>
      </c>
      <c r="Q309">
        <v>1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91</v>
      </c>
      <c r="Z309">
        <v>0</v>
      </c>
      <c r="AA309">
        <v>0</v>
      </c>
      <c r="AB309">
        <v>91</v>
      </c>
      <c r="AC309">
        <v>3</v>
      </c>
      <c r="AD309">
        <v>88</v>
      </c>
      <c r="AE309">
        <v>9</v>
      </c>
      <c r="AF309">
        <v>1</v>
      </c>
      <c r="AG309">
        <v>0</v>
      </c>
      <c r="AH309">
        <v>8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9</v>
      </c>
      <c r="AQ309">
        <v>2</v>
      </c>
      <c r="AR309">
        <v>1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1</v>
      </c>
      <c r="BB309">
        <v>2</v>
      </c>
      <c r="BC309">
        <v>1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1</v>
      </c>
      <c r="BN309">
        <v>1</v>
      </c>
      <c r="BO309">
        <v>33</v>
      </c>
      <c r="BP309">
        <v>29</v>
      </c>
      <c r="BQ309">
        <v>0</v>
      </c>
      <c r="BR309">
        <v>1</v>
      </c>
      <c r="BS309">
        <v>2</v>
      </c>
      <c r="BT309">
        <v>0</v>
      </c>
      <c r="BU309">
        <v>1</v>
      </c>
      <c r="BV309">
        <v>0</v>
      </c>
      <c r="BW309">
        <v>0</v>
      </c>
      <c r="BX309">
        <v>0</v>
      </c>
      <c r="BY309">
        <v>0</v>
      </c>
      <c r="BZ309">
        <v>33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1</v>
      </c>
      <c r="CN309">
        <v>0</v>
      </c>
      <c r="CO309">
        <v>0</v>
      </c>
      <c r="CP309">
        <v>1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1</v>
      </c>
      <c r="CY309">
        <v>8</v>
      </c>
      <c r="CZ309">
        <v>7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1</v>
      </c>
      <c r="DG309">
        <v>0</v>
      </c>
      <c r="DH309">
        <v>0</v>
      </c>
      <c r="DI309">
        <v>0</v>
      </c>
      <c r="DJ309">
        <v>8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32</v>
      </c>
      <c r="DX309">
        <v>3</v>
      </c>
      <c r="DY309">
        <v>25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4</v>
      </c>
      <c r="EF309">
        <v>0</v>
      </c>
      <c r="EG309">
        <v>0</v>
      </c>
      <c r="EH309">
        <v>32</v>
      </c>
      <c r="EI309">
        <v>2</v>
      </c>
      <c r="EJ309">
        <v>0</v>
      </c>
      <c r="EK309">
        <v>2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2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0</v>
      </c>
      <c r="FO309">
        <v>0</v>
      </c>
      <c r="FP309">
        <v>0</v>
      </c>
    </row>
    <row r="310" spans="1:172" ht="14.25">
      <c r="A310">
        <v>305</v>
      </c>
      <c r="B310" t="str">
        <f t="shared" si="57"/>
        <v>101213</v>
      </c>
      <c r="C310" t="str">
        <f t="shared" si="58"/>
        <v>Wielgomłyny</v>
      </c>
      <c r="D310" t="str">
        <f t="shared" si="52"/>
        <v>radomszczański</v>
      </c>
      <c r="E310" t="str">
        <f t="shared" si="49"/>
        <v>łódzkie</v>
      </c>
      <c r="F310">
        <v>6</v>
      </c>
      <c r="G310" t="str">
        <f>"Publiczna Szkoła Podstawowa, Niedośpielin 97, 97-525 Wielgomłyny"</f>
        <v>Publiczna Szkoła Podstawowa, Niedośpielin 97, 97-525 Wielgomłyny</v>
      </c>
      <c r="H310">
        <v>529</v>
      </c>
      <c r="I310">
        <v>529</v>
      </c>
      <c r="J310">
        <v>0</v>
      </c>
      <c r="K310">
        <v>370</v>
      </c>
      <c r="L310">
        <v>262</v>
      </c>
      <c r="M310">
        <v>108</v>
      </c>
      <c r="N310">
        <v>108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108</v>
      </c>
      <c r="Z310">
        <v>0</v>
      </c>
      <c r="AA310">
        <v>0</v>
      </c>
      <c r="AB310">
        <v>108</v>
      </c>
      <c r="AC310">
        <v>2</v>
      </c>
      <c r="AD310">
        <v>106</v>
      </c>
      <c r="AE310">
        <v>2</v>
      </c>
      <c r="AF310">
        <v>1</v>
      </c>
      <c r="AG310">
        <v>0</v>
      </c>
      <c r="AH310">
        <v>1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2</v>
      </c>
      <c r="AQ310">
        <v>2</v>
      </c>
      <c r="AR310">
        <v>0</v>
      </c>
      <c r="AS310">
        <v>0</v>
      </c>
      <c r="AT310">
        <v>1</v>
      </c>
      <c r="AU310">
        <v>1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2</v>
      </c>
      <c r="BC310">
        <v>13</v>
      </c>
      <c r="BD310">
        <v>6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1</v>
      </c>
      <c r="BK310">
        <v>0</v>
      </c>
      <c r="BL310">
        <v>0</v>
      </c>
      <c r="BM310">
        <v>6</v>
      </c>
      <c r="BN310">
        <v>13</v>
      </c>
      <c r="BO310">
        <v>36</v>
      </c>
      <c r="BP310">
        <v>33</v>
      </c>
      <c r="BQ310">
        <v>2</v>
      </c>
      <c r="BR310">
        <v>0</v>
      </c>
      <c r="BS310">
        <v>0</v>
      </c>
      <c r="BT310">
        <v>0</v>
      </c>
      <c r="BU310">
        <v>0</v>
      </c>
      <c r="BV310">
        <v>1</v>
      </c>
      <c r="BW310">
        <v>0</v>
      </c>
      <c r="BX310">
        <v>0</v>
      </c>
      <c r="BY310">
        <v>0</v>
      </c>
      <c r="BZ310">
        <v>36</v>
      </c>
      <c r="CA310">
        <v>2</v>
      </c>
      <c r="CB310">
        <v>1</v>
      </c>
      <c r="CC310">
        <v>1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2</v>
      </c>
      <c r="CM310">
        <v>6</v>
      </c>
      <c r="CN310">
        <v>6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6</v>
      </c>
      <c r="CY310">
        <v>3</v>
      </c>
      <c r="CZ310">
        <v>1</v>
      </c>
      <c r="DA310">
        <v>0</v>
      </c>
      <c r="DB310">
        <v>0</v>
      </c>
      <c r="DC310">
        <v>0</v>
      </c>
      <c r="DD310">
        <v>0</v>
      </c>
      <c r="DE310">
        <v>2</v>
      </c>
      <c r="DF310">
        <v>0</v>
      </c>
      <c r="DG310">
        <v>0</v>
      </c>
      <c r="DH310">
        <v>0</v>
      </c>
      <c r="DI310">
        <v>0</v>
      </c>
      <c r="DJ310">
        <v>3</v>
      </c>
      <c r="DK310">
        <v>11</v>
      </c>
      <c r="DL310">
        <v>4</v>
      </c>
      <c r="DM310">
        <v>3</v>
      </c>
      <c r="DN310">
        <v>1</v>
      </c>
      <c r="DO310">
        <v>0</v>
      </c>
      <c r="DP310">
        <v>0</v>
      </c>
      <c r="DQ310">
        <v>0</v>
      </c>
      <c r="DR310">
        <v>2</v>
      </c>
      <c r="DS310">
        <v>0</v>
      </c>
      <c r="DT310">
        <v>1</v>
      </c>
      <c r="DU310">
        <v>0</v>
      </c>
      <c r="DV310">
        <v>11</v>
      </c>
      <c r="DW310">
        <v>31</v>
      </c>
      <c r="DX310">
        <v>1</v>
      </c>
      <c r="DY310">
        <v>27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2</v>
      </c>
      <c r="EF310">
        <v>0</v>
      </c>
      <c r="EG310">
        <v>1</v>
      </c>
      <c r="EH310">
        <v>31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0</v>
      </c>
      <c r="FP310">
        <v>0</v>
      </c>
    </row>
    <row r="311" spans="1:172" ht="14.25">
      <c r="A311">
        <v>306</v>
      </c>
      <c r="B311" t="str">
        <f>"101214"</f>
        <v>101214</v>
      </c>
      <c r="C311" t="str">
        <f>"Żytno"</f>
        <v>Żytno</v>
      </c>
      <c r="D311" t="str">
        <f t="shared" si="52"/>
        <v>radomszczański</v>
      </c>
      <c r="E311" t="str">
        <f t="shared" si="49"/>
        <v>łódzkie</v>
      </c>
      <c r="F311">
        <v>1</v>
      </c>
      <c r="G311" t="str">
        <f>"Publiczna Szkoła Podstawowa, ul. Ogrodowa 16, 97-532 Żytno"</f>
        <v>Publiczna Szkoła Podstawowa, ul. Ogrodowa 16, 97-532 Żytno</v>
      </c>
      <c r="H311">
        <v>1332</v>
      </c>
      <c r="I311">
        <v>1332</v>
      </c>
      <c r="J311">
        <v>0</v>
      </c>
      <c r="K311">
        <v>930</v>
      </c>
      <c r="L311">
        <v>749</v>
      </c>
      <c r="M311">
        <v>181</v>
      </c>
      <c r="N311">
        <v>181</v>
      </c>
      <c r="O311">
        <v>0</v>
      </c>
      <c r="P311">
        <v>0</v>
      </c>
      <c r="Q311">
        <v>3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181</v>
      </c>
      <c r="Z311">
        <v>0</v>
      </c>
      <c r="AA311">
        <v>0</v>
      </c>
      <c r="AB311">
        <v>181</v>
      </c>
      <c r="AC311">
        <v>9</v>
      </c>
      <c r="AD311">
        <v>172</v>
      </c>
      <c r="AE311">
        <v>10</v>
      </c>
      <c r="AF311">
        <v>2</v>
      </c>
      <c r="AG311">
        <v>0</v>
      </c>
      <c r="AH311">
        <v>4</v>
      </c>
      <c r="AI311">
        <v>0</v>
      </c>
      <c r="AJ311">
        <v>0</v>
      </c>
      <c r="AK311">
        <v>0</v>
      </c>
      <c r="AL311">
        <v>1</v>
      </c>
      <c r="AM311">
        <v>0</v>
      </c>
      <c r="AN311">
        <v>1</v>
      </c>
      <c r="AO311">
        <v>2</v>
      </c>
      <c r="AP311">
        <v>10</v>
      </c>
      <c r="AQ311">
        <v>5</v>
      </c>
      <c r="AR311">
        <v>0</v>
      </c>
      <c r="AS311">
        <v>2</v>
      </c>
      <c r="AT311">
        <v>2</v>
      </c>
      <c r="AU311">
        <v>1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5</v>
      </c>
      <c r="BC311">
        <v>19</v>
      </c>
      <c r="BD311">
        <v>14</v>
      </c>
      <c r="BE311">
        <v>1</v>
      </c>
      <c r="BF311">
        <v>2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1</v>
      </c>
      <c r="BM311">
        <v>1</v>
      </c>
      <c r="BN311">
        <v>19</v>
      </c>
      <c r="BO311">
        <v>63</v>
      </c>
      <c r="BP311">
        <v>55</v>
      </c>
      <c r="BQ311">
        <v>2</v>
      </c>
      <c r="BR311">
        <v>0</v>
      </c>
      <c r="BS311">
        <v>2</v>
      </c>
      <c r="BT311">
        <v>0</v>
      </c>
      <c r="BU311">
        <v>2</v>
      </c>
      <c r="BV311">
        <v>1</v>
      </c>
      <c r="BW311">
        <v>1</v>
      </c>
      <c r="BX311">
        <v>0</v>
      </c>
      <c r="BY311">
        <v>0</v>
      </c>
      <c r="BZ311">
        <v>63</v>
      </c>
      <c r="CA311">
        <v>8</v>
      </c>
      <c r="CB311">
        <v>0</v>
      </c>
      <c r="CC311">
        <v>0</v>
      </c>
      <c r="CD311">
        <v>2</v>
      </c>
      <c r="CE311">
        <v>0</v>
      </c>
      <c r="CF311">
        <v>0</v>
      </c>
      <c r="CG311">
        <v>0</v>
      </c>
      <c r="CH311">
        <v>1</v>
      </c>
      <c r="CI311">
        <v>3</v>
      </c>
      <c r="CJ311">
        <v>2</v>
      </c>
      <c r="CK311">
        <v>0</v>
      </c>
      <c r="CL311">
        <v>8</v>
      </c>
      <c r="CM311">
        <v>5</v>
      </c>
      <c r="CN311">
        <v>2</v>
      </c>
      <c r="CO311">
        <v>0</v>
      </c>
      <c r="CP311">
        <v>0</v>
      </c>
      <c r="CQ311">
        <v>2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1</v>
      </c>
      <c r="CX311">
        <v>5</v>
      </c>
      <c r="CY311">
        <v>6</v>
      </c>
      <c r="CZ311">
        <v>3</v>
      </c>
      <c r="DA311">
        <v>2</v>
      </c>
      <c r="DB311">
        <v>1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6</v>
      </c>
      <c r="DK311">
        <v>18</v>
      </c>
      <c r="DL311">
        <v>9</v>
      </c>
      <c r="DM311">
        <v>6</v>
      </c>
      <c r="DN311">
        <v>1</v>
      </c>
      <c r="DO311">
        <v>1</v>
      </c>
      <c r="DP311">
        <v>0</v>
      </c>
      <c r="DQ311">
        <v>0</v>
      </c>
      <c r="DR311">
        <v>0</v>
      </c>
      <c r="DS311">
        <v>1</v>
      </c>
      <c r="DT311">
        <v>0</v>
      </c>
      <c r="DU311">
        <v>0</v>
      </c>
      <c r="DV311">
        <v>18</v>
      </c>
      <c r="DW311">
        <v>32</v>
      </c>
      <c r="DX311">
        <v>4</v>
      </c>
      <c r="DY311">
        <v>3</v>
      </c>
      <c r="DZ311">
        <v>0</v>
      </c>
      <c r="EA311">
        <v>0</v>
      </c>
      <c r="EB311">
        <v>3</v>
      </c>
      <c r="EC311">
        <v>1</v>
      </c>
      <c r="ED311">
        <v>2</v>
      </c>
      <c r="EE311">
        <v>18</v>
      </c>
      <c r="EF311">
        <v>1</v>
      </c>
      <c r="EG311">
        <v>0</v>
      </c>
      <c r="EH311">
        <v>32</v>
      </c>
      <c r="EI311">
        <v>3</v>
      </c>
      <c r="EJ311">
        <v>0</v>
      </c>
      <c r="EK311">
        <v>2</v>
      </c>
      <c r="EL311">
        <v>0</v>
      </c>
      <c r="EM311">
        <v>0</v>
      </c>
      <c r="EN311">
        <v>0</v>
      </c>
      <c r="EO311">
        <v>1</v>
      </c>
      <c r="EP311">
        <v>0</v>
      </c>
      <c r="EQ311">
        <v>0</v>
      </c>
      <c r="ER311">
        <v>3</v>
      </c>
      <c r="ES311">
        <v>1</v>
      </c>
      <c r="ET311">
        <v>1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1</v>
      </c>
      <c r="FE311">
        <v>2</v>
      </c>
      <c r="FF311">
        <v>0</v>
      </c>
      <c r="FG311">
        <v>1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1</v>
      </c>
      <c r="FN311">
        <v>0</v>
      </c>
      <c r="FO311">
        <v>0</v>
      </c>
      <c r="FP311">
        <v>2</v>
      </c>
    </row>
    <row r="312" spans="1:172" ht="14.25">
      <c r="A312">
        <v>307</v>
      </c>
      <c r="B312" t="str">
        <f>"101214"</f>
        <v>101214</v>
      </c>
      <c r="C312" t="str">
        <f>"Żytno"</f>
        <v>Żytno</v>
      </c>
      <c r="D312" t="str">
        <f t="shared" si="52"/>
        <v>radomszczański</v>
      </c>
      <c r="E312" t="str">
        <f t="shared" si="49"/>
        <v>łódzkie</v>
      </c>
      <c r="F312">
        <v>2</v>
      </c>
      <c r="G312" t="str">
        <f>"Gminny Ośrodek Kultury, Silnica 77, 97-532 Żytno"</f>
        <v>Gminny Ośrodek Kultury, Silnica 77, 97-532 Żytno</v>
      </c>
      <c r="H312">
        <v>898</v>
      </c>
      <c r="I312">
        <v>898</v>
      </c>
      <c r="J312">
        <v>0</v>
      </c>
      <c r="K312">
        <v>630</v>
      </c>
      <c r="L312">
        <v>507</v>
      </c>
      <c r="M312">
        <v>123</v>
      </c>
      <c r="N312">
        <v>123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123</v>
      </c>
      <c r="Z312">
        <v>0</v>
      </c>
      <c r="AA312">
        <v>0</v>
      </c>
      <c r="AB312">
        <v>123</v>
      </c>
      <c r="AC312">
        <v>6</v>
      </c>
      <c r="AD312">
        <v>117</v>
      </c>
      <c r="AE312">
        <v>17</v>
      </c>
      <c r="AF312">
        <v>4</v>
      </c>
      <c r="AG312">
        <v>0</v>
      </c>
      <c r="AH312">
        <v>11</v>
      </c>
      <c r="AI312">
        <v>0</v>
      </c>
      <c r="AJ312">
        <v>0</v>
      </c>
      <c r="AK312">
        <v>0</v>
      </c>
      <c r="AL312">
        <v>0</v>
      </c>
      <c r="AM312">
        <v>1</v>
      </c>
      <c r="AN312">
        <v>1</v>
      </c>
      <c r="AO312">
        <v>0</v>
      </c>
      <c r="AP312">
        <v>17</v>
      </c>
      <c r="AQ312">
        <v>1</v>
      </c>
      <c r="AR312">
        <v>1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1</v>
      </c>
      <c r="BC312">
        <v>3</v>
      </c>
      <c r="BD312">
        <v>1</v>
      </c>
      <c r="BE312">
        <v>0</v>
      </c>
      <c r="BF312">
        <v>0</v>
      </c>
      <c r="BG312">
        <v>0</v>
      </c>
      <c r="BH312">
        <v>0</v>
      </c>
      <c r="BI312">
        <v>2</v>
      </c>
      <c r="BJ312">
        <v>0</v>
      </c>
      <c r="BK312">
        <v>0</v>
      </c>
      <c r="BL312">
        <v>0</v>
      </c>
      <c r="BM312">
        <v>0</v>
      </c>
      <c r="BN312">
        <v>3</v>
      </c>
      <c r="BO312">
        <v>60</v>
      </c>
      <c r="BP312">
        <v>54</v>
      </c>
      <c r="BQ312">
        <v>1</v>
      </c>
      <c r="BR312">
        <v>2</v>
      </c>
      <c r="BS312">
        <v>0</v>
      </c>
      <c r="BT312">
        <v>1</v>
      </c>
      <c r="BU312">
        <v>0</v>
      </c>
      <c r="BV312">
        <v>0</v>
      </c>
      <c r="BW312">
        <v>0</v>
      </c>
      <c r="BX312">
        <v>0</v>
      </c>
      <c r="BY312">
        <v>2</v>
      </c>
      <c r="BZ312">
        <v>60</v>
      </c>
      <c r="CA312">
        <v>2</v>
      </c>
      <c r="CB312">
        <v>0</v>
      </c>
      <c r="CC312">
        <v>2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2</v>
      </c>
      <c r="CM312">
        <v>2</v>
      </c>
      <c r="CN312">
        <v>2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2</v>
      </c>
      <c r="CY312">
        <v>2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1</v>
      </c>
      <c r="DF312">
        <v>1</v>
      </c>
      <c r="DG312">
        <v>0</v>
      </c>
      <c r="DH312">
        <v>0</v>
      </c>
      <c r="DI312">
        <v>0</v>
      </c>
      <c r="DJ312">
        <v>2</v>
      </c>
      <c r="DK312">
        <v>8</v>
      </c>
      <c r="DL312">
        <v>7</v>
      </c>
      <c r="DM312">
        <v>0</v>
      </c>
      <c r="DN312">
        <v>0</v>
      </c>
      <c r="DO312">
        <v>0</v>
      </c>
      <c r="DP312">
        <v>1</v>
      </c>
      <c r="DQ312">
        <v>0</v>
      </c>
      <c r="DR312">
        <v>0</v>
      </c>
      <c r="DS312">
        <v>0</v>
      </c>
      <c r="DT312">
        <v>0</v>
      </c>
      <c r="DU312">
        <v>0</v>
      </c>
      <c r="DV312">
        <v>8</v>
      </c>
      <c r="DW312">
        <v>19</v>
      </c>
      <c r="DX312">
        <v>2</v>
      </c>
      <c r="DY312">
        <v>15</v>
      </c>
      <c r="DZ312">
        <v>0</v>
      </c>
      <c r="EA312">
        <v>0</v>
      </c>
      <c r="EB312">
        <v>0</v>
      </c>
      <c r="EC312">
        <v>0</v>
      </c>
      <c r="ED312">
        <v>1</v>
      </c>
      <c r="EE312">
        <v>1</v>
      </c>
      <c r="EF312">
        <v>0</v>
      </c>
      <c r="EG312">
        <v>0</v>
      </c>
      <c r="EH312">
        <v>19</v>
      </c>
      <c r="EI312">
        <v>3</v>
      </c>
      <c r="EJ312">
        <v>2</v>
      </c>
      <c r="EK312">
        <v>1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3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0</v>
      </c>
      <c r="FP312">
        <v>0</v>
      </c>
    </row>
    <row r="313" spans="1:172" ht="14.25">
      <c r="A313">
        <v>308</v>
      </c>
      <c r="B313" t="str">
        <f>"101214"</f>
        <v>101214</v>
      </c>
      <c r="C313" t="str">
        <f>"Żytno"</f>
        <v>Żytno</v>
      </c>
      <c r="D313" t="str">
        <f t="shared" si="52"/>
        <v>radomszczański</v>
      </c>
      <c r="E313" t="str">
        <f t="shared" si="49"/>
        <v>łódzkie</v>
      </c>
      <c r="F313">
        <v>3</v>
      </c>
      <c r="G313" t="str">
        <f>"Przedszkole Publiczne, ul. Wolności 5, Maluszyn, 97-532 Żytno"</f>
        <v>Przedszkole Publiczne, ul. Wolności 5, Maluszyn, 97-532 Żytno</v>
      </c>
      <c r="H313">
        <v>1177</v>
      </c>
      <c r="I313">
        <v>1177</v>
      </c>
      <c r="J313">
        <v>0</v>
      </c>
      <c r="K313">
        <v>820</v>
      </c>
      <c r="L313">
        <v>675</v>
      </c>
      <c r="M313">
        <v>145</v>
      </c>
      <c r="N313">
        <v>145</v>
      </c>
      <c r="O313">
        <v>0</v>
      </c>
      <c r="P313">
        <v>0</v>
      </c>
      <c r="Q313">
        <v>6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145</v>
      </c>
      <c r="Z313">
        <v>0</v>
      </c>
      <c r="AA313">
        <v>0</v>
      </c>
      <c r="AB313">
        <v>145</v>
      </c>
      <c r="AC313">
        <v>5</v>
      </c>
      <c r="AD313">
        <v>140</v>
      </c>
      <c r="AE313">
        <v>9</v>
      </c>
      <c r="AF313">
        <v>2</v>
      </c>
      <c r="AG313">
        <v>1</v>
      </c>
      <c r="AH313">
        <v>3</v>
      </c>
      <c r="AI313">
        <v>1</v>
      </c>
      <c r="AJ313">
        <v>1</v>
      </c>
      <c r="AK313">
        <v>0</v>
      </c>
      <c r="AL313">
        <v>0</v>
      </c>
      <c r="AM313">
        <v>0</v>
      </c>
      <c r="AN313">
        <v>0</v>
      </c>
      <c r="AO313">
        <v>1</v>
      </c>
      <c r="AP313">
        <v>9</v>
      </c>
      <c r="AQ313">
        <v>1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1</v>
      </c>
      <c r="AZ313">
        <v>0</v>
      </c>
      <c r="BA313">
        <v>0</v>
      </c>
      <c r="BB313">
        <v>1</v>
      </c>
      <c r="BC313">
        <v>7</v>
      </c>
      <c r="BD313">
        <v>6</v>
      </c>
      <c r="BE313">
        <v>0</v>
      </c>
      <c r="BF313">
        <v>0</v>
      </c>
      <c r="BG313">
        <v>0</v>
      </c>
      <c r="BH313">
        <v>1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7</v>
      </c>
      <c r="BO313">
        <v>68</v>
      </c>
      <c r="BP313">
        <v>56</v>
      </c>
      <c r="BQ313">
        <v>5</v>
      </c>
      <c r="BR313">
        <v>1</v>
      </c>
      <c r="BS313">
        <v>3</v>
      </c>
      <c r="BT313">
        <v>2</v>
      </c>
      <c r="BU313">
        <v>0</v>
      </c>
      <c r="BV313">
        <v>0</v>
      </c>
      <c r="BW313">
        <v>0</v>
      </c>
      <c r="BX313">
        <v>0</v>
      </c>
      <c r="BY313">
        <v>1</v>
      </c>
      <c r="BZ313">
        <v>68</v>
      </c>
      <c r="CA313">
        <v>4</v>
      </c>
      <c r="CB313">
        <v>3</v>
      </c>
      <c r="CC313">
        <v>0</v>
      </c>
      <c r="CD313">
        <v>0</v>
      </c>
      <c r="CE313">
        <v>1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4</v>
      </c>
      <c r="CM313">
        <v>3</v>
      </c>
      <c r="CN313">
        <v>0</v>
      </c>
      <c r="CO313">
        <v>1</v>
      </c>
      <c r="CP313">
        <v>0</v>
      </c>
      <c r="CQ313">
        <v>1</v>
      </c>
      <c r="CR313">
        <v>1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3</v>
      </c>
      <c r="CY313">
        <v>13</v>
      </c>
      <c r="CZ313">
        <v>2</v>
      </c>
      <c r="DA313">
        <v>2</v>
      </c>
      <c r="DB313">
        <v>1</v>
      </c>
      <c r="DC313">
        <v>2</v>
      </c>
      <c r="DD313">
        <v>3</v>
      </c>
      <c r="DE313">
        <v>1</v>
      </c>
      <c r="DF313">
        <v>1</v>
      </c>
      <c r="DG313">
        <v>0</v>
      </c>
      <c r="DH313">
        <v>0</v>
      </c>
      <c r="DI313">
        <v>1</v>
      </c>
      <c r="DJ313">
        <v>13</v>
      </c>
      <c r="DK313">
        <v>19</v>
      </c>
      <c r="DL313">
        <v>13</v>
      </c>
      <c r="DM313">
        <v>4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2</v>
      </c>
      <c r="DT313">
        <v>0</v>
      </c>
      <c r="DU313">
        <v>0</v>
      </c>
      <c r="DV313">
        <v>19</v>
      </c>
      <c r="DW313">
        <v>11</v>
      </c>
      <c r="DX313">
        <v>1</v>
      </c>
      <c r="DY313">
        <v>5</v>
      </c>
      <c r="DZ313">
        <v>0</v>
      </c>
      <c r="EA313">
        <v>1</v>
      </c>
      <c r="EB313">
        <v>0</v>
      </c>
      <c r="EC313">
        <v>2</v>
      </c>
      <c r="ED313">
        <v>1</v>
      </c>
      <c r="EE313">
        <v>1</v>
      </c>
      <c r="EF313">
        <v>0</v>
      </c>
      <c r="EG313">
        <v>0</v>
      </c>
      <c r="EH313">
        <v>11</v>
      </c>
      <c r="EI313">
        <v>3</v>
      </c>
      <c r="EJ313">
        <v>2</v>
      </c>
      <c r="EK313">
        <v>0</v>
      </c>
      <c r="EL313">
        <v>1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3</v>
      </c>
      <c r="ES313">
        <v>1</v>
      </c>
      <c r="ET313">
        <v>0</v>
      </c>
      <c r="EU313">
        <v>0</v>
      </c>
      <c r="EV313">
        <v>0</v>
      </c>
      <c r="EW313">
        <v>0</v>
      </c>
      <c r="EX313">
        <v>1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1</v>
      </c>
      <c r="FE313">
        <v>1</v>
      </c>
      <c r="FF313">
        <v>0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1</v>
      </c>
      <c r="FP313">
        <v>1</v>
      </c>
    </row>
    <row r="314" spans="1:172" ht="14.25">
      <c r="A314">
        <v>309</v>
      </c>
      <c r="B314" t="str">
        <f>"101214"</f>
        <v>101214</v>
      </c>
      <c r="C314" t="str">
        <f>"Żytno"</f>
        <v>Żytno</v>
      </c>
      <c r="D314" t="str">
        <f t="shared" si="52"/>
        <v>radomszczański</v>
      </c>
      <c r="E314" t="str">
        <f t="shared" si="49"/>
        <v>łódzkie</v>
      </c>
      <c r="F314">
        <v>4</v>
      </c>
      <c r="G314" t="str">
        <f>"Publiczna Szkoła Podstawowa, ul. Szkolna 12, Borzykowa, 97-532 Żytno"</f>
        <v>Publiczna Szkoła Podstawowa, ul. Szkolna 12, Borzykowa, 97-532 Żytno</v>
      </c>
      <c r="H314">
        <v>1088</v>
      </c>
      <c r="I314">
        <v>1088</v>
      </c>
      <c r="J314">
        <v>0</v>
      </c>
      <c r="K314">
        <v>760</v>
      </c>
      <c r="L314">
        <v>638</v>
      </c>
      <c r="M314">
        <v>122</v>
      </c>
      <c r="N314">
        <v>122</v>
      </c>
      <c r="O314">
        <v>0</v>
      </c>
      <c r="P314">
        <v>0</v>
      </c>
      <c r="Q314">
        <v>2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122</v>
      </c>
      <c r="Z314">
        <v>0</v>
      </c>
      <c r="AA314">
        <v>0</v>
      </c>
      <c r="AB314">
        <v>122</v>
      </c>
      <c r="AC314">
        <v>9</v>
      </c>
      <c r="AD314">
        <v>113</v>
      </c>
      <c r="AE314">
        <v>8</v>
      </c>
      <c r="AF314">
        <v>3</v>
      </c>
      <c r="AG314">
        <v>0</v>
      </c>
      <c r="AH314">
        <v>5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8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12</v>
      </c>
      <c r="BD314">
        <v>4</v>
      </c>
      <c r="BE314">
        <v>1</v>
      </c>
      <c r="BF314">
        <v>1</v>
      </c>
      <c r="BG314">
        <v>0</v>
      </c>
      <c r="BH314">
        <v>0</v>
      </c>
      <c r="BI314">
        <v>0</v>
      </c>
      <c r="BJ314">
        <v>4</v>
      </c>
      <c r="BK314">
        <v>0</v>
      </c>
      <c r="BL314">
        <v>1</v>
      </c>
      <c r="BM314">
        <v>1</v>
      </c>
      <c r="BN314">
        <v>12</v>
      </c>
      <c r="BO314">
        <v>63</v>
      </c>
      <c r="BP314">
        <v>47</v>
      </c>
      <c r="BQ314">
        <v>4</v>
      </c>
      <c r="BR314">
        <v>6</v>
      </c>
      <c r="BS314">
        <v>1</v>
      </c>
      <c r="BT314">
        <v>4</v>
      </c>
      <c r="BU314">
        <v>1</v>
      </c>
      <c r="BV314">
        <v>0</v>
      </c>
      <c r="BW314">
        <v>0</v>
      </c>
      <c r="BX314">
        <v>0</v>
      </c>
      <c r="BY314">
        <v>0</v>
      </c>
      <c r="BZ314">
        <v>63</v>
      </c>
      <c r="CA314">
        <v>1</v>
      </c>
      <c r="CB314">
        <v>0</v>
      </c>
      <c r="CC314">
        <v>0</v>
      </c>
      <c r="CD314">
        <v>0</v>
      </c>
      <c r="CE314">
        <v>0</v>
      </c>
      <c r="CF314">
        <v>1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1</v>
      </c>
      <c r="CM314">
        <v>2</v>
      </c>
      <c r="CN314">
        <v>0</v>
      </c>
      <c r="CO314">
        <v>0</v>
      </c>
      <c r="CP314">
        <v>1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1</v>
      </c>
      <c r="CX314">
        <v>2</v>
      </c>
      <c r="CY314">
        <v>3</v>
      </c>
      <c r="CZ314">
        <v>2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1</v>
      </c>
      <c r="DH314">
        <v>0</v>
      </c>
      <c r="DI314">
        <v>0</v>
      </c>
      <c r="DJ314">
        <v>3</v>
      </c>
      <c r="DK314">
        <v>9</v>
      </c>
      <c r="DL314">
        <v>4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1</v>
      </c>
      <c r="DT314">
        <v>0</v>
      </c>
      <c r="DU314">
        <v>4</v>
      </c>
      <c r="DV314">
        <v>9</v>
      </c>
      <c r="DW314">
        <v>15</v>
      </c>
      <c r="DX314">
        <v>2</v>
      </c>
      <c r="DY314">
        <v>4</v>
      </c>
      <c r="DZ314">
        <v>0</v>
      </c>
      <c r="EA314">
        <v>0</v>
      </c>
      <c r="EB314">
        <v>0</v>
      </c>
      <c r="EC314">
        <v>0</v>
      </c>
      <c r="ED314">
        <v>1</v>
      </c>
      <c r="EE314">
        <v>6</v>
      </c>
      <c r="EF314">
        <v>0</v>
      </c>
      <c r="EG314">
        <v>2</v>
      </c>
      <c r="EH314">
        <v>15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</row>
    <row r="315" spans="1:172" ht="14.25">
      <c r="A315">
        <v>310</v>
      </c>
      <c r="B315" t="str">
        <f aca="true" t="shared" si="59" ref="B315:B341">"101601"</f>
        <v>101601</v>
      </c>
      <c r="C315" t="str">
        <f aca="true" t="shared" si="60" ref="C315:C341">"m. Tomaszów Mazowiecki"</f>
        <v>m. Tomaszów Mazowiecki</v>
      </c>
      <c r="D315" t="str">
        <f aca="true" t="shared" si="61" ref="D315:D346">"tomaszowski"</f>
        <v>tomaszowski</v>
      </c>
      <c r="E315" t="str">
        <f t="shared" si="49"/>
        <v>łódzkie</v>
      </c>
      <c r="F315">
        <v>1</v>
      </c>
      <c r="G315" t="str">
        <f>"Zespół Szkół Nr 4, ul. Tomasza Ostrowskiego 14, 97-200 Tomaszów Mazowiecki"</f>
        <v>Zespół Szkół Nr 4, ul. Tomasza Ostrowskiego 14, 97-200 Tomaszów Mazowiecki</v>
      </c>
      <c r="H315">
        <v>2275</v>
      </c>
      <c r="I315">
        <v>2275</v>
      </c>
      <c r="J315">
        <v>0</v>
      </c>
      <c r="K315">
        <v>1600</v>
      </c>
      <c r="L315">
        <v>1043</v>
      </c>
      <c r="M315">
        <v>557</v>
      </c>
      <c r="N315">
        <v>557</v>
      </c>
      <c r="O315">
        <v>0</v>
      </c>
      <c r="P315">
        <v>0</v>
      </c>
      <c r="Q315">
        <v>4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557</v>
      </c>
      <c r="Z315">
        <v>0</v>
      </c>
      <c r="AA315">
        <v>0</v>
      </c>
      <c r="AB315">
        <v>557</v>
      </c>
      <c r="AC315">
        <v>9</v>
      </c>
      <c r="AD315">
        <v>548</v>
      </c>
      <c r="AE315">
        <v>11</v>
      </c>
      <c r="AF315">
        <v>6</v>
      </c>
      <c r="AG315">
        <v>1</v>
      </c>
      <c r="AH315">
        <v>1</v>
      </c>
      <c r="AI315">
        <v>1</v>
      </c>
      <c r="AJ315">
        <v>1</v>
      </c>
      <c r="AK315">
        <v>1</v>
      </c>
      <c r="AL315">
        <v>0</v>
      </c>
      <c r="AM315">
        <v>0</v>
      </c>
      <c r="AN315">
        <v>0</v>
      </c>
      <c r="AO315">
        <v>0</v>
      </c>
      <c r="AP315">
        <v>11</v>
      </c>
      <c r="AQ315">
        <v>3</v>
      </c>
      <c r="AR315">
        <v>2</v>
      </c>
      <c r="AS315">
        <v>1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3</v>
      </c>
      <c r="BC315">
        <v>44</v>
      </c>
      <c r="BD315">
        <v>25</v>
      </c>
      <c r="BE315">
        <v>4</v>
      </c>
      <c r="BF315">
        <v>1</v>
      </c>
      <c r="BG315">
        <v>1</v>
      </c>
      <c r="BH315">
        <v>0</v>
      </c>
      <c r="BI315">
        <v>1</v>
      </c>
      <c r="BJ315">
        <v>2</v>
      </c>
      <c r="BK315">
        <v>0</v>
      </c>
      <c r="BL315">
        <v>0</v>
      </c>
      <c r="BM315">
        <v>10</v>
      </c>
      <c r="BN315">
        <v>44</v>
      </c>
      <c r="BO315">
        <v>224</v>
      </c>
      <c r="BP315">
        <v>180</v>
      </c>
      <c r="BQ315">
        <v>6</v>
      </c>
      <c r="BR315">
        <v>3</v>
      </c>
      <c r="BS315">
        <v>3</v>
      </c>
      <c r="BT315">
        <v>1</v>
      </c>
      <c r="BU315">
        <v>7</v>
      </c>
      <c r="BV315">
        <v>2</v>
      </c>
      <c r="BW315">
        <v>21</v>
      </c>
      <c r="BX315">
        <v>1</v>
      </c>
      <c r="BY315">
        <v>0</v>
      </c>
      <c r="BZ315">
        <v>224</v>
      </c>
      <c r="CA315">
        <v>31</v>
      </c>
      <c r="CB315">
        <v>1</v>
      </c>
      <c r="CC315">
        <v>3</v>
      </c>
      <c r="CD315">
        <v>25</v>
      </c>
      <c r="CE315">
        <v>1</v>
      </c>
      <c r="CF315">
        <v>0</v>
      </c>
      <c r="CG315">
        <v>0</v>
      </c>
      <c r="CH315">
        <v>0</v>
      </c>
      <c r="CI315">
        <v>1</v>
      </c>
      <c r="CJ315">
        <v>0</v>
      </c>
      <c r="CK315">
        <v>0</v>
      </c>
      <c r="CL315">
        <v>31</v>
      </c>
      <c r="CM315">
        <v>11</v>
      </c>
      <c r="CN315">
        <v>1</v>
      </c>
      <c r="CO315">
        <v>8</v>
      </c>
      <c r="CP315">
        <v>0</v>
      </c>
      <c r="CQ315">
        <v>1</v>
      </c>
      <c r="CR315">
        <v>1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11</v>
      </c>
      <c r="CY315">
        <v>24</v>
      </c>
      <c r="CZ315">
        <v>16</v>
      </c>
      <c r="DA315">
        <v>0</v>
      </c>
      <c r="DB315">
        <v>1</v>
      </c>
      <c r="DC315">
        <v>3</v>
      </c>
      <c r="DD315">
        <v>0</v>
      </c>
      <c r="DE315">
        <v>2</v>
      </c>
      <c r="DF315">
        <v>2</v>
      </c>
      <c r="DG315">
        <v>0</v>
      </c>
      <c r="DH315">
        <v>0</v>
      </c>
      <c r="DI315">
        <v>0</v>
      </c>
      <c r="DJ315">
        <v>24</v>
      </c>
      <c r="DK315">
        <v>179</v>
      </c>
      <c r="DL315">
        <v>115</v>
      </c>
      <c r="DM315">
        <v>21</v>
      </c>
      <c r="DN315">
        <v>0</v>
      </c>
      <c r="DO315">
        <v>2</v>
      </c>
      <c r="DP315">
        <v>34</v>
      </c>
      <c r="DQ315">
        <v>1</v>
      </c>
      <c r="DR315">
        <v>1</v>
      </c>
      <c r="DS315">
        <v>1</v>
      </c>
      <c r="DT315">
        <v>1</v>
      </c>
      <c r="DU315">
        <v>3</v>
      </c>
      <c r="DV315">
        <v>179</v>
      </c>
      <c r="DW315">
        <v>15</v>
      </c>
      <c r="DX315">
        <v>1</v>
      </c>
      <c r="DY315">
        <v>3</v>
      </c>
      <c r="DZ315">
        <v>0</v>
      </c>
      <c r="EA315">
        <v>3</v>
      </c>
      <c r="EB315">
        <v>0</v>
      </c>
      <c r="EC315">
        <v>7</v>
      </c>
      <c r="ED315">
        <v>0</v>
      </c>
      <c r="EE315">
        <v>0</v>
      </c>
      <c r="EF315">
        <v>1</v>
      </c>
      <c r="EG315">
        <v>0</v>
      </c>
      <c r="EH315">
        <v>15</v>
      </c>
      <c r="EI315">
        <v>5</v>
      </c>
      <c r="EJ315">
        <v>2</v>
      </c>
      <c r="EK315">
        <v>2</v>
      </c>
      <c r="EL315">
        <v>0</v>
      </c>
      <c r="EM315">
        <v>0</v>
      </c>
      <c r="EN315">
        <v>0</v>
      </c>
      <c r="EO315">
        <v>0</v>
      </c>
      <c r="EP315">
        <v>1</v>
      </c>
      <c r="EQ315">
        <v>0</v>
      </c>
      <c r="ER315">
        <v>5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1</v>
      </c>
      <c r="FF315">
        <v>0</v>
      </c>
      <c r="FG315">
        <v>1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1</v>
      </c>
    </row>
    <row r="316" spans="1:172" ht="14.25">
      <c r="A316">
        <v>311</v>
      </c>
      <c r="B316" t="str">
        <f t="shared" si="59"/>
        <v>101601</v>
      </c>
      <c r="C316" t="str">
        <f t="shared" si="60"/>
        <v>m. Tomaszów Mazowiecki</v>
      </c>
      <c r="D316" t="str">
        <f t="shared" si="61"/>
        <v>tomaszowski</v>
      </c>
      <c r="E316" t="str">
        <f t="shared" si="49"/>
        <v>łódzkie</v>
      </c>
      <c r="F316">
        <v>2</v>
      </c>
      <c r="G316" t="str">
        <f>"Fundacja Rozwoju Gminy Zelów, ul. Warszawska 119, 97-200 Tomaszów Mazowiecki"</f>
        <v>Fundacja Rozwoju Gminy Zelów, ul. Warszawska 119, 97-200 Tomaszów Mazowiecki</v>
      </c>
      <c r="H316">
        <v>1999</v>
      </c>
      <c r="I316">
        <v>1999</v>
      </c>
      <c r="J316">
        <v>0</v>
      </c>
      <c r="K316">
        <v>1410</v>
      </c>
      <c r="L316">
        <v>1077</v>
      </c>
      <c r="M316">
        <v>333</v>
      </c>
      <c r="N316">
        <v>333</v>
      </c>
      <c r="O316">
        <v>0</v>
      </c>
      <c r="P316">
        <v>0</v>
      </c>
      <c r="Q316">
        <v>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333</v>
      </c>
      <c r="Z316">
        <v>0</v>
      </c>
      <c r="AA316">
        <v>0</v>
      </c>
      <c r="AB316">
        <v>333</v>
      </c>
      <c r="AC316">
        <v>7</v>
      </c>
      <c r="AD316">
        <v>326</v>
      </c>
      <c r="AE316">
        <v>8</v>
      </c>
      <c r="AF316">
        <v>3</v>
      </c>
      <c r="AG316">
        <v>4</v>
      </c>
      <c r="AH316">
        <v>0</v>
      </c>
      <c r="AI316">
        <v>0</v>
      </c>
      <c r="AJ316">
        <v>0</v>
      </c>
      <c r="AK316">
        <v>0</v>
      </c>
      <c r="AL316">
        <v>1</v>
      </c>
      <c r="AM316">
        <v>0</v>
      </c>
      <c r="AN316">
        <v>0</v>
      </c>
      <c r="AO316">
        <v>0</v>
      </c>
      <c r="AP316">
        <v>8</v>
      </c>
      <c r="AQ316">
        <v>3</v>
      </c>
      <c r="AR316">
        <v>2</v>
      </c>
      <c r="AS316">
        <v>0</v>
      </c>
      <c r="AT316">
        <v>0</v>
      </c>
      <c r="AU316">
        <v>1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3</v>
      </c>
      <c r="BC316">
        <v>17</v>
      </c>
      <c r="BD316">
        <v>13</v>
      </c>
      <c r="BE316">
        <v>0</v>
      </c>
      <c r="BF316">
        <v>1</v>
      </c>
      <c r="BG316">
        <v>1</v>
      </c>
      <c r="BH316">
        <v>0</v>
      </c>
      <c r="BI316">
        <v>1</v>
      </c>
      <c r="BJ316">
        <v>0</v>
      </c>
      <c r="BK316">
        <v>0</v>
      </c>
      <c r="BL316">
        <v>0</v>
      </c>
      <c r="BM316">
        <v>1</v>
      </c>
      <c r="BN316">
        <v>17</v>
      </c>
      <c r="BO316">
        <v>165</v>
      </c>
      <c r="BP316">
        <v>144</v>
      </c>
      <c r="BQ316">
        <v>2</v>
      </c>
      <c r="BR316">
        <v>1</v>
      </c>
      <c r="BS316">
        <v>2</v>
      </c>
      <c r="BT316">
        <v>0</v>
      </c>
      <c r="BU316">
        <v>5</v>
      </c>
      <c r="BV316">
        <v>0</v>
      </c>
      <c r="BW316">
        <v>11</v>
      </c>
      <c r="BX316">
        <v>0</v>
      </c>
      <c r="BY316">
        <v>0</v>
      </c>
      <c r="BZ316">
        <v>165</v>
      </c>
      <c r="CA316">
        <v>17</v>
      </c>
      <c r="CB316">
        <v>0</v>
      </c>
      <c r="CC316">
        <v>4</v>
      </c>
      <c r="CD316">
        <v>12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1</v>
      </c>
      <c r="CK316">
        <v>0</v>
      </c>
      <c r="CL316">
        <v>17</v>
      </c>
      <c r="CM316">
        <v>7</v>
      </c>
      <c r="CN316">
        <v>4</v>
      </c>
      <c r="CO316">
        <v>2</v>
      </c>
      <c r="CP316">
        <v>1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7</v>
      </c>
      <c r="CY316">
        <v>26</v>
      </c>
      <c r="CZ316">
        <v>12</v>
      </c>
      <c r="DA316">
        <v>6</v>
      </c>
      <c r="DB316">
        <v>4</v>
      </c>
      <c r="DC316">
        <v>0</v>
      </c>
      <c r="DD316">
        <v>1</v>
      </c>
      <c r="DE316">
        <v>1</v>
      </c>
      <c r="DF316">
        <v>0</v>
      </c>
      <c r="DG316">
        <v>0</v>
      </c>
      <c r="DH316">
        <v>0</v>
      </c>
      <c r="DI316">
        <v>2</v>
      </c>
      <c r="DJ316">
        <v>26</v>
      </c>
      <c r="DK316">
        <v>69</v>
      </c>
      <c r="DL316">
        <v>30</v>
      </c>
      <c r="DM316">
        <v>14</v>
      </c>
      <c r="DN316">
        <v>0</v>
      </c>
      <c r="DO316">
        <v>1</v>
      </c>
      <c r="DP316">
        <v>22</v>
      </c>
      <c r="DQ316">
        <v>0</v>
      </c>
      <c r="DR316">
        <v>1</v>
      </c>
      <c r="DS316">
        <v>1</v>
      </c>
      <c r="DT316">
        <v>0</v>
      </c>
      <c r="DU316">
        <v>0</v>
      </c>
      <c r="DV316">
        <v>69</v>
      </c>
      <c r="DW316">
        <v>9</v>
      </c>
      <c r="DX316">
        <v>0</v>
      </c>
      <c r="DY316">
        <v>1</v>
      </c>
      <c r="DZ316">
        <v>0</v>
      </c>
      <c r="EA316">
        <v>0</v>
      </c>
      <c r="EB316">
        <v>0</v>
      </c>
      <c r="EC316">
        <v>8</v>
      </c>
      <c r="ED316">
        <v>0</v>
      </c>
      <c r="EE316">
        <v>0</v>
      </c>
      <c r="EF316">
        <v>0</v>
      </c>
      <c r="EG316">
        <v>0</v>
      </c>
      <c r="EH316">
        <v>9</v>
      </c>
      <c r="EI316">
        <v>2</v>
      </c>
      <c r="EJ316">
        <v>1</v>
      </c>
      <c r="EK316">
        <v>1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2</v>
      </c>
      <c r="ES316">
        <v>2</v>
      </c>
      <c r="ET316">
        <v>0</v>
      </c>
      <c r="EU316">
        <v>2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2</v>
      </c>
      <c r="FE316">
        <v>1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1</v>
      </c>
      <c r="FL316">
        <v>0</v>
      </c>
      <c r="FM316">
        <v>0</v>
      </c>
      <c r="FN316">
        <v>0</v>
      </c>
      <c r="FO316">
        <v>0</v>
      </c>
      <c r="FP316">
        <v>1</v>
      </c>
    </row>
    <row r="317" spans="1:172" ht="14.25">
      <c r="A317">
        <v>312</v>
      </c>
      <c r="B317" t="str">
        <f t="shared" si="59"/>
        <v>101601</v>
      </c>
      <c r="C317" t="str">
        <f t="shared" si="60"/>
        <v>m. Tomaszów Mazowiecki</v>
      </c>
      <c r="D317" t="str">
        <f t="shared" si="61"/>
        <v>tomaszowski</v>
      </c>
      <c r="E317" t="str">
        <f t="shared" si="49"/>
        <v>łódzkie</v>
      </c>
      <c r="F317">
        <v>3</v>
      </c>
      <c r="G317" t="str">
        <f>"Przedszkole Nr 12, ul. Kombatantów 1/3, 97-200 Tomaszów Mazowiecki"</f>
        <v>Przedszkole Nr 12, ul. Kombatantów 1/3, 97-200 Tomaszów Mazowiecki</v>
      </c>
      <c r="H317">
        <v>2264</v>
      </c>
      <c r="I317">
        <v>2264</v>
      </c>
      <c r="J317">
        <v>0</v>
      </c>
      <c r="K317">
        <v>1599</v>
      </c>
      <c r="L317">
        <v>1064</v>
      </c>
      <c r="M317">
        <v>535</v>
      </c>
      <c r="N317">
        <v>535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535</v>
      </c>
      <c r="Z317">
        <v>0</v>
      </c>
      <c r="AA317">
        <v>0</v>
      </c>
      <c r="AB317">
        <v>535</v>
      </c>
      <c r="AC317">
        <v>12</v>
      </c>
      <c r="AD317">
        <v>523</v>
      </c>
      <c r="AE317">
        <v>9</v>
      </c>
      <c r="AF317">
        <v>1</v>
      </c>
      <c r="AG317">
        <v>2</v>
      </c>
      <c r="AH317">
        <v>1</v>
      </c>
      <c r="AI317">
        <v>1</v>
      </c>
      <c r="AJ317">
        <v>1</v>
      </c>
      <c r="AK317">
        <v>0</v>
      </c>
      <c r="AL317">
        <v>2</v>
      </c>
      <c r="AM317">
        <v>0</v>
      </c>
      <c r="AN317">
        <v>1</v>
      </c>
      <c r="AO317">
        <v>0</v>
      </c>
      <c r="AP317">
        <v>9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39</v>
      </c>
      <c r="BD317">
        <v>21</v>
      </c>
      <c r="BE317">
        <v>2</v>
      </c>
      <c r="BF317">
        <v>0</v>
      </c>
      <c r="BG317">
        <v>0</v>
      </c>
      <c r="BH317">
        <v>0</v>
      </c>
      <c r="BI317">
        <v>0</v>
      </c>
      <c r="BJ317">
        <v>2</v>
      </c>
      <c r="BK317">
        <v>0</v>
      </c>
      <c r="BL317">
        <v>0</v>
      </c>
      <c r="BM317">
        <v>14</v>
      </c>
      <c r="BN317">
        <v>39</v>
      </c>
      <c r="BO317">
        <v>239</v>
      </c>
      <c r="BP317">
        <v>197</v>
      </c>
      <c r="BQ317">
        <v>10</v>
      </c>
      <c r="BR317">
        <v>3</v>
      </c>
      <c r="BS317">
        <v>0</v>
      </c>
      <c r="BT317">
        <v>0</v>
      </c>
      <c r="BU317">
        <v>4</v>
      </c>
      <c r="BV317">
        <v>0</v>
      </c>
      <c r="BW317">
        <v>24</v>
      </c>
      <c r="BX317">
        <v>0</v>
      </c>
      <c r="BY317">
        <v>1</v>
      </c>
      <c r="BZ317">
        <v>239</v>
      </c>
      <c r="CA317">
        <v>19</v>
      </c>
      <c r="CB317">
        <v>0</v>
      </c>
      <c r="CC317">
        <v>2</v>
      </c>
      <c r="CD317">
        <v>14</v>
      </c>
      <c r="CE317">
        <v>0</v>
      </c>
      <c r="CF317">
        <v>1</v>
      </c>
      <c r="CG317">
        <v>0</v>
      </c>
      <c r="CH317">
        <v>0</v>
      </c>
      <c r="CI317">
        <v>0</v>
      </c>
      <c r="CJ317">
        <v>1</v>
      </c>
      <c r="CK317">
        <v>1</v>
      </c>
      <c r="CL317">
        <v>19</v>
      </c>
      <c r="CM317">
        <v>11</v>
      </c>
      <c r="CN317">
        <v>3</v>
      </c>
      <c r="CO317">
        <v>6</v>
      </c>
      <c r="CP317">
        <v>1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1</v>
      </c>
      <c r="CW317">
        <v>0</v>
      </c>
      <c r="CX317">
        <v>11</v>
      </c>
      <c r="CY317">
        <v>27</v>
      </c>
      <c r="CZ317">
        <v>16</v>
      </c>
      <c r="DA317">
        <v>2</v>
      </c>
      <c r="DB317">
        <v>1</v>
      </c>
      <c r="DC317">
        <v>0</v>
      </c>
      <c r="DD317">
        <v>0</v>
      </c>
      <c r="DE317">
        <v>1</v>
      </c>
      <c r="DF317">
        <v>1</v>
      </c>
      <c r="DG317">
        <v>0</v>
      </c>
      <c r="DH317">
        <v>1</v>
      </c>
      <c r="DI317">
        <v>5</v>
      </c>
      <c r="DJ317">
        <v>27</v>
      </c>
      <c r="DK317">
        <v>160</v>
      </c>
      <c r="DL317">
        <v>84</v>
      </c>
      <c r="DM317">
        <v>22</v>
      </c>
      <c r="DN317">
        <v>2</v>
      </c>
      <c r="DO317">
        <v>0</v>
      </c>
      <c r="DP317">
        <v>39</v>
      </c>
      <c r="DQ317">
        <v>1</v>
      </c>
      <c r="DR317">
        <v>1</v>
      </c>
      <c r="DS317">
        <v>2</v>
      </c>
      <c r="DT317">
        <v>2</v>
      </c>
      <c r="DU317">
        <v>7</v>
      </c>
      <c r="DV317">
        <v>160</v>
      </c>
      <c r="DW317">
        <v>12</v>
      </c>
      <c r="DX317">
        <v>0</v>
      </c>
      <c r="DY317">
        <v>7</v>
      </c>
      <c r="DZ317">
        <v>0</v>
      </c>
      <c r="EA317">
        <v>0</v>
      </c>
      <c r="EB317">
        <v>0</v>
      </c>
      <c r="EC317">
        <v>3</v>
      </c>
      <c r="ED317">
        <v>0</v>
      </c>
      <c r="EE317">
        <v>2</v>
      </c>
      <c r="EF317">
        <v>0</v>
      </c>
      <c r="EG317">
        <v>0</v>
      </c>
      <c r="EH317">
        <v>12</v>
      </c>
      <c r="EI317">
        <v>4</v>
      </c>
      <c r="EJ317">
        <v>0</v>
      </c>
      <c r="EK317">
        <v>1</v>
      </c>
      <c r="EL317">
        <v>1</v>
      </c>
      <c r="EM317">
        <v>0</v>
      </c>
      <c r="EN317">
        <v>0</v>
      </c>
      <c r="EO317">
        <v>1</v>
      </c>
      <c r="EP317">
        <v>0</v>
      </c>
      <c r="EQ317">
        <v>1</v>
      </c>
      <c r="ER317">
        <v>4</v>
      </c>
      <c r="ES317">
        <v>1</v>
      </c>
      <c r="ET317">
        <v>0</v>
      </c>
      <c r="EU317">
        <v>0</v>
      </c>
      <c r="EV317">
        <v>0</v>
      </c>
      <c r="EW317">
        <v>1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1</v>
      </c>
      <c r="FE317">
        <v>2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2</v>
      </c>
      <c r="FL317">
        <v>0</v>
      </c>
      <c r="FM317">
        <v>0</v>
      </c>
      <c r="FN317">
        <v>0</v>
      </c>
      <c r="FO317">
        <v>0</v>
      </c>
      <c r="FP317">
        <v>2</v>
      </c>
    </row>
    <row r="318" spans="1:172" ht="14.25">
      <c r="A318">
        <v>313</v>
      </c>
      <c r="B318" t="str">
        <f t="shared" si="59"/>
        <v>101601</v>
      </c>
      <c r="C318" t="str">
        <f t="shared" si="60"/>
        <v>m. Tomaszów Mazowiecki</v>
      </c>
      <c r="D318" t="str">
        <f t="shared" si="61"/>
        <v>tomaszowski</v>
      </c>
      <c r="E318" t="str">
        <f t="shared" si="49"/>
        <v>łódzkie</v>
      </c>
      <c r="F318">
        <v>4</v>
      </c>
      <c r="G318" t="str">
        <f>"Zespół Szkolno-Przedszkolny Nr 1, ul. J.U. Niemcewicza 50/56, 97-200 Tomaszów Mazowiecki"</f>
        <v>Zespół Szkolno-Przedszkolny Nr 1, ul. J.U. Niemcewicza 50/56, 97-200 Tomaszów Mazowiecki</v>
      </c>
      <c r="H318">
        <v>2119</v>
      </c>
      <c r="I318">
        <v>2119</v>
      </c>
      <c r="J318">
        <v>0</v>
      </c>
      <c r="K318">
        <v>1499</v>
      </c>
      <c r="L318">
        <v>1097</v>
      </c>
      <c r="M318">
        <v>402</v>
      </c>
      <c r="N318">
        <v>402</v>
      </c>
      <c r="O318">
        <v>0</v>
      </c>
      <c r="P318">
        <v>0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402</v>
      </c>
      <c r="Z318">
        <v>0</v>
      </c>
      <c r="AA318">
        <v>0</v>
      </c>
      <c r="AB318">
        <v>402</v>
      </c>
      <c r="AC318">
        <v>9</v>
      </c>
      <c r="AD318">
        <v>393</v>
      </c>
      <c r="AE318">
        <v>8</v>
      </c>
      <c r="AF318">
        <v>6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1</v>
      </c>
      <c r="AM318">
        <v>0</v>
      </c>
      <c r="AN318">
        <v>0</v>
      </c>
      <c r="AO318">
        <v>1</v>
      </c>
      <c r="AP318">
        <v>8</v>
      </c>
      <c r="AQ318">
        <v>2</v>
      </c>
      <c r="AR318">
        <v>2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2</v>
      </c>
      <c r="BC318">
        <v>26</v>
      </c>
      <c r="BD318">
        <v>18</v>
      </c>
      <c r="BE318">
        <v>0</v>
      </c>
      <c r="BF318">
        <v>2</v>
      </c>
      <c r="BG318">
        <v>2</v>
      </c>
      <c r="BH318">
        <v>1</v>
      </c>
      <c r="BI318">
        <v>0</v>
      </c>
      <c r="BJ318">
        <v>0</v>
      </c>
      <c r="BK318">
        <v>0</v>
      </c>
      <c r="BL318">
        <v>0</v>
      </c>
      <c r="BM318">
        <v>3</v>
      </c>
      <c r="BN318">
        <v>26</v>
      </c>
      <c r="BO318">
        <v>188</v>
      </c>
      <c r="BP318">
        <v>147</v>
      </c>
      <c r="BQ318">
        <v>4</v>
      </c>
      <c r="BR318">
        <v>8</v>
      </c>
      <c r="BS318">
        <v>1</v>
      </c>
      <c r="BT318">
        <v>1</v>
      </c>
      <c r="BU318">
        <v>9</v>
      </c>
      <c r="BV318">
        <v>0</v>
      </c>
      <c r="BW318">
        <v>14</v>
      </c>
      <c r="BX318">
        <v>3</v>
      </c>
      <c r="BY318">
        <v>1</v>
      </c>
      <c r="BZ318">
        <v>188</v>
      </c>
      <c r="CA318">
        <v>19</v>
      </c>
      <c r="CB318">
        <v>1</v>
      </c>
      <c r="CC318">
        <v>0</v>
      </c>
      <c r="CD318">
        <v>12</v>
      </c>
      <c r="CE318">
        <v>1</v>
      </c>
      <c r="CF318">
        <v>2</v>
      </c>
      <c r="CG318">
        <v>2</v>
      </c>
      <c r="CH318">
        <v>1</v>
      </c>
      <c r="CI318">
        <v>0</v>
      </c>
      <c r="CJ318">
        <v>0</v>
      </c>
      <c r="CK318">
        <v>0</v>
      </c>
      <c r="CL318">
        <v>19</v>
      </c>
      <c r="CM318">
        <v>17</v>
      </c>
      <c r="CN318">
        <v>3</v>
      </c>
      <c r="CO318">
        <v>14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17</v>
      </c>
      <c r="CY318">
        <v>35</v>
      </c>
      <c r="CZ318">
        <v>23</v>
      </c>
      <c r="DA318">
        <v>1</v>
      </c>
      <c r="DB318">
        <v>1</v>
      </c>
      <c r="DC318">
        <v>2</v>
      </c>
      <c r="DD318">
        <v>0</v>
      </c>
      <c r="DE318">
        <v>1</v>
      </c>
      <c r="DF318">
        <v>1</v>
      </c>
      <c r="DG318">
        <v>1</v>
      </c>
      <c r="DH318">
        <v>3</v>
      </c>
      <c r="DI318">
        <v>2</v>
      </c>
      <c r="DJ318">
        <v>35</v>
      </c>
      <c r="DK318">
        <v>77</v>
      </c>
      <c r="DL318">
        <v>34</v>
      </c>
      <c r="DM318">
        <v>14</v>
      </c>
      <c r="DN318">
        <v>0</v>
      </c>
      <c r="DO318">
        <v>1</v>
      </c>
      <c r="DP318">
        <v>24</v>
      </c>
      <c r="DQ318">
        <v>0</v>
      </c>
      <c r="DR318">
        <v>2</v>
      </c>
      <c r="DS318">
        <v>1</v>
      </c>
      <c r="DT318">
        <v>0</v>
      </c>
      <c r="DU318">
        <v>1</v>
      </c>
      <c r="DV318">
        <v>77</v>
      </c>
      <c r="DW318">
        <v>14</v>
      </c>
      <c r="DX318">
        <v>1</v>
      </c>
      <c r="DY318">
        <v>6</v>
      </c>
      <c r="DZ318">
        <v>0</v>
      </c>
      <c r="EA318">
        <v>2</v>
      </c>
      <c r="EB318">
        <v>0</v>
      </c>
      <c r="EC318">
        <v>5</v>
      </c>
      <c r="ED318">
        <v>0</v>
      </c>
      <c r="EE318">
        <v>0</v>
      </c>
      <c r="EF318">
        <v>0</v>
      </c>
      <c r="EG318">
        <v>0</v>
      </c>
      <c r="EH318">
        <v>14</v>
      </c>
      <c r="EI318">
        <v>3</v>
      </c>
      <c r="EJ318">
        <v>0</v>
      </c>
      <c r="EK318">
        <v>1</v>
      </c>
      <c r="EL318">
        <v>0</v>
      </c>
      <c r="EM318">
        <v>0</v>
      </c>
      <c r="EN318">
        <v>0</v>
      </c>
      <c r="EO318">
        <v>0</v>
      </c>
      <c r="EP318">
        <v>2</v>
      </c>
      <c r="EQ318">
        <v>0</v>
      </c>
      <c r="ER318">
        <v>3</v>
      </c>
      <c r="ES318">
        <v>1</v>
      </c>
      <c r="ET318">
        <v>1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1</v>
      </c>
      <c r="FE318">
        <v>3</v>
      </c>
      <c r="FF318">
        <v>0</v>
      </c>
      <c r="FG318">
        <v>0</v>
      </c>
      <c r="FH318">
        <v>0</v>
      </c>
      <c r="FI318">
        <v>0</v>
      </c>
      <c r="FJ318">
        <v>0</v>
      </c>
      <c r="FK318">
        <v>3</v>
      </c>
      <c r="FL318">
        <v>0</v>
      </c>
      <c r="FM318">
        <v>0</v>
      </c>
      <c r="FN318">
        <v>0</v>
      </c>
      <c r="FO318">
        <v>0</v>
      </c>
      <c r="FP318">
        <v>3</v>
      </c>
    </row>
    <row r="319" spans="1:172" ht="14.25">
      <c r="A319">
        <v>314</v>
      </c>
      <c r="B319" t="str">
        <f t="shared" si="59"/>
        <v>101601</v>
      </c>
      <c r="C319" t="str">
        <f t="shared" si="60"/>
        <v>m. Tomaszów Mazowiecki</v>
      </c>
      <c r="D319" t="str">
        <f t="shared" si="61"/>
        <v>tomaszowski</v>
      </c>
      <c r="E319" t="str">
        <f t="shared" si="49"/>
        <v>łódzkie</v>
      </c>
      <c r="F319">
        <v>5</v>
      </c>
      <c r="G319" t="str">
        <f>"III Liceum Ogólnokształcące, ul. Nadrzeczna 17/25, 97-200 Tomaszów Mazowiecki"</f>
        <v>III Liceum Ogólnokształcące, ul. Nadrzeczna 17/25, 97-200 Tomaszów Mazowiecki</v>
      </c>
      <c r="H319">
        <v>2341</v>
      </c>
      <c r="I319">
        <v>2341</v>
      </c>
      <c r="J319">
        <v>0</v>
      </c>
      <c r="K319">
        <v>1650</v>
      </c>
      <c r="L319">
        <v>1176</v>
      </c>
      <c r="M319">
        <v>474</v>
      </c>
      <c r="N319">
        <v>474</v>
      </c>
      <c r="O319">
        <v>0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474</v>
      </c>
      <c r="Z319">
        <v>0</v>
      </c>
      <c r="AA319">
        <v>0</v>
      </c>
      <c r="AB319">
        <v>474</v>
      </c>
      <c r="AC319">
        <v>16</v>
      </c>
      <c r="AD319">
        <v>458</v>
      </c>
      <c r="AE319">
        <v>7</v>
      </c>
      <c r="AF319">
        <v>4</v>
      </c>
      <c r="AG319">
        <v>0</v>
      </c>
      <c r="AH319">
        <v>2</v>
      </c>
      <c r="AI319">
        <v>0</v>
      </c>
      <c r="AJ319">
        <v>0</v>
      </c>
      <c r="AK319">
        <v>1</v>
      </c>
      <c r="AL319">
        <v>0</v>
      </c>
      <c r="AM319">
        <v>0</v>
      </c>
      <c r="AN319">
        <v>0</v>
      </c>
      <c r="AO319">
        <v>0</v>
      </c>
      <c r="AP319">
        <v>7</v>
      </c>
      <c r="AQ319">
        <v>3</v>
      </c>
      <c r="AR319">
        <v>3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3</v>
      </c>
      <c r="BC319">
        <v>32</v>
      </c>
      <c r="BD319">
        <v>18</v>
      </c>
      <c r="BE319">
        <v>3</v>
      </c>
      <c r="BF319">
        <v>2</v>
      </c>
      <c r="BG319">
        <v>5</v>
      </c>
      <c r="BH319">
        <v>0</v>
      </c>
      <c r="BI319">
        <v>1</v>
      </c>
      <c r="BJ319">
        <v>1</v>
      </c>
      <c r="BK319">
        <v>1</v>
      </c>
      <c r="BL319">
        <v>0</v>
      </c>
      <c r="BM319">
        <v>1</v>
      </c>
      <c r="BN319">
        <v>32</v>
      </c>
      <c r="BO319">
        <v>210</v>
      </c>
      <c r="BP319">
        <v>167</v>
      </c>
      <c r="BQ319">
        <v>6</v>
      </c>
      <c r="BR319">
        <v>9</v>
      </c>
      <c r="BS319">
        <v>7</v>
      </c>
      <c r="BT319">
        <v>0</v>
      </c>
      <c r="BU319">
        <v>2</v>
      </c>
      <c r="BV319">
        <v>2</v>
      </c>
      <c r="BW319">
        <v>13</v>
      </c>
      <c r="BX319">
        <v>3</v>
      </c>
      <c r="BY319">
        <v>1</v>
      </c>
      <c r="BZ319">
        <v>210</v>
      </c>
      <c r="CA319">
        <v>25</v>
      </c>
      <c r="CB319">
        <v>2</v>
      </c>
      <c r="CC319">
        <v>3</v>
      </c>
      <c r="CD319">
        <v>18</v>
      </c>
      <c r="CE319">
        <v>1</v>
      </c>
      <c r="CF319">
        <v>0</v>
      </c>
      <c r="CG319">
        <v>0</v>
      </c>
      <c r="CH319">
        <v>1</v>
      </c>
      <c r="CI319">
        <v>0</v>
      </c>
      <c r="CJ319">
        <v>0</v>
      </c>
      <c r="CK319">
        <v>0</v>
      </c>
      <c r="CL319">
        <v>25</v>
      </c>
      <c r="CM319">
        <v>8</v>
      </c>
      <c r="CN319">
        <v>5</v>
      </c>
      <c r="CO319">
        <v>3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8</v>
      </c>
      <c r="CY319">
        <v>16</v>
      </c>
      <c r="CZ319">
        <v>10</v>
      </c>
      <c r="DA319">
        <v>2</v>
      </c>
      <c r="DB319">
        <v>0</v>
      </c>
      <c r="DC319">
        <v>1</v>
      </c>
      <c r="DD319">
        <v>1</v>
      </c>
      <c r="DE319">
        <v>0</v>
      </c>
      <c r="DF319">
        <v>0</v>
      </c>
      <c r="DG319">
        <v>1</v>
      </c>
      <c r="DH319">
        <v>1</v>
      </c>
      <c r="DI319">
        <v>0</v>
      </c>
      <c r="DJ319">
        <v>16</v>
      </c>
      <c r="DK319">
        <v>131</v>
      </c>
      <c r="DL319">
        <v>75</v>
      </c>
      <c r="DM319">
        <v>7</v>
      </c>
      <c r="DN319">
        <v>0</v>
      </c>
      <c r="DO319">
        <v>0</v>
      </c>
      <c r="DP319">
        <v>44</v>
      </c>
      <c r="DQ319">
        <v>0</v>
      </c>
      <c r="DR319">
        <v>0</v>
      </c>
      <c r="DS319">
        <v>2</v>
      </c>
      <c r="DT319">
        <v>2</v>
      </c>
      <c r="DU319">
        <v>1</v>
      </c>
      <c r="DV319">
        <v>131</v>
      </c>
      <c r="DW319">
        <v>18</v>
      </c>
      <c r="DX319">
        <v>1</v>
      </c>
      <c r="DY319">
        <v>5</v>
      </c>
      <c r="DZ319">
        <v>0</v>
      </c>
      <c r="EA319">
        <v>0</v>
      </c>
      <c r="EB319">
        <v>3</v>
      </c>
      <c r="EC319">
        <v>9</v>
      </c>
      <c r="ED319">
        <v>0</v>
      </c>
      <c r="EE319">
        <v>0</v>
      </c>
      <c r="EF319">
        <v>0</v>
      </c>
      <c r="EG319">
        <v>0</v>
      </c>
      <c r="EH319">
        <v>18</v>
      </c>
      <c r="EI319">
        <v>6</v>
      </c>
      <c r="EJ319">
        <v>1</v>
      </c>
      <c r="EK319">
        <v>3</v>
      </c>
      <c r="EL319">
        <v>1</v>
      </c>
      <c r="EM319">
        <v>0</v>
      </c>
      <c r="EN319">
        <v>0</v>
      </c>
      <c r="EO319">
        <v>1</v>
      </c>
      <c r="EP319">
        <v>0</v>
      </c>
      <c r="EQ319">
        <v>0</v>
      </c>
      <c r="ER319">
        <v>6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2</v>
      </c>
      <c r="FF319">
        <v>0</v>
      </c>
      <c r="FG319">
        <v>1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1</v>
      </c>
      <c r="FN319">
        <v>0</v>
      </c>
      <c r="FO319">
        <v>0</v>
      </c>
      <c r="FP319">
        <v>2</v>
      </c>
    </row>
    <row r="320" spans="1:172" ht="14.25">
      <c r="A320">
        <v>315</v>
      </c>
      <c r="B320" t="str">
        <f t="shared" si="59"/>
        <v>101601</v>
      </c>
      <c r="C320" t="str">
        <f t="shared" si="60"/>
        <v>m. Tomaszów Mazowiecki</v>
      </c>
      <c r="D320" t="str">
        <f t="shared" si="61"/>
        <v>tomaszowski</v>
      </c>
      <c r="E320" t="str">
        <f t="shared" si="49"/>
        <v>łódzkie</v>
      </c>
      <c r="F320">
        <v>6</v>
      </c>
      <c r="G320" t="str">
        <f>"Przedszkole Nr 3, ul. Kombatantów 5, 97-200 Tomaszów Mazowiecki"</f>
        <v>Przedszkole Nr 3, ul. Kombatantów 5, 97-200 Tomaszów Mazowiecki</v>
      </c>
      <c r="H320">
        <v>2189</v>
      </c>
      <c r="I320">
        <v>2189</v>
      </c>
      <c r="J320">
        <v>0</v>
      </c>
      <c r="K320">
        <v>1550</v>
      </c>
      <c r="L320">
        <v>964</v>
      </c>
      <c r="M320">
        <v>586</v>
      </c>
      <c r="N320">
        <v>586</v>
      </c>
      <c r="O320">
        <v>0</v>
      </c>
      <c r="P320">
        <v>0</v>
      </c>
      <c r="Q320">
        <v>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585</v>
      </c>
      <c r="Z320">
        <v>0</v>
      </c>
      <c r="AA320">
        <v>0</v>
      </c>
      <c r="AB320">
        <v>585</v>
      </c>
      <c r="AC320">
        <v>20</v>
      </c>
      <c r="AD320">
        <v>565</v>
      </c>
      <c r="AE320">
        <v>9</v>
      </c>
      <c r="AF320">
        <v>3</v>
      </c>
      <c r="AG320">
        <v>2</v>
      </c>
      <c r="AH320">
        <v>0</v>
      </c>
      <c r="AI320">
        <v>0</v>
      </c>
      <c r="AJ320">
        <v>1</v>
      </c>
      <c r="AK320">
        <v>0</v>
      </c>
      <c r="AL320">
        <v>0</v>
      </c>
      <c r="AM320">
        <v>0</v>
      </c>
      <c r="AN320">
        <v>2</v>
      </c>
      <c r="AO320">
        <v>1</v>
      </c>
      <c r="AP320">
        <v>9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54</v>
      </c>
      <c r="BD320">
        <v>23</v>
      </c>
      <c r="BE320">
        <v>4</v>
      </c>
      <c r="BF320">
        <v>0</v>
      </c>
      <c r="BG320">
        <v>1</v>
      </c>
      <c r="BH320">
        <v>0</v>
      </c>
      <c r="BI320">
        <v>4</v>
      </c>
      <c r="BJ320">
        <v>2</v>
      </c>
      <c r="BK320">
        <v>3</v>
      </c>
      <c r="BL320">
        <v>2</v>
      </c>
      <c r="BM320">
        <v>15</v>
      </c>
      <c r="BN320">
        <v>54</v>
      </c>
      <c r="BO320">
        <v>230</v>
      </c>
      <c r="BP320">
        <v>185</v>
      </c>
      <c r="BQ320">
        <v>4</v>
      </c>
      <c r="BR320">
        <v>7</v>
      </c>
      <c r="BS320">
        <v>2</v>
      </c>
      <c r="BT320">
        <v>2</v>
      </c>
      <c r="BU320">
        <v>6</v>
      </c>
      <c r="BV320">
        <v>0</v>
      </c>
      <c r="BW320">
        <v>20</v>
      </c>
      <c r="BX320">
        <v>2</v>
      </c>
      <c r="BY320">
        <v>2</v>
      </c>
      <c r="BZ320">
        <v>230</v>
      </c>
      <c r="CA320">
        <v>34</v>
      </c>
      <c r="CB320">
        <v>6</v>
      </c>
      <c r="CC320">
        <v>3</v>
      </c>
      <c r="CD320">
        <v>24</v>
      </c>
      <c r="CE320">
        <v>1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34</v>
      </c>
      <c r="CM320">
        <v>9</v>
      </c>
      <c r="CN320">
        <v>2</v>
      </c>
      <c r="CO320">
        <v>1</v>
      </c>
      <c r="CP320">
        <v>0</v>
      </c>
      <c r="CQ320">
        <v>3</v>
      </c>
      <c r="CR320">
        <v>1</v>
      </c>
      <c r="CS320">
        <v>2</v>
      </c>
      <c r="CT320">
        <v>0</v>
      </c>
      <c r="CU320">
        <v>0</v>
      </c>
      <c r="CV320">
        <v>0</v>
      </c>
      <c r="CW320">
        <v>0</v>
      </c>
      <c r="CX320">
        <v>9</v>
      </c>
      <c r="CY320">
        <v>26</v>
      </c>
      <c r="CZ320">
        <v>13</v>
      </c>
      <c r="DA320">
        <v>5</v>
      </c>
      <c r="DB320">
        <v>0</v>
      </c>
      <c r="DC320">
        <v>0</v>
      </c>
      <c r="DD320">
        <v>2</v>
      </c>
      <c r="DE320">
        <v>1</v>
      </c>
      <c r="DF320">
        <v>2</v>
      </c>
      <c r="DG320">
        <v>0</v>
      </c>
      <c r="DH320">
        <v>0</v>
      </c>
      <c r="DI320">
        <v>3</v>
      </c>
      <c r="DJ320">
        <v>26</v>
      </c>
      <c r="DK320">
        <v>174</v>
      </c>
      <c r="DL320">
        <v>99</v>
      </c>
      <c r="DM320">
        <v>21</v>
      </c>
      <c r="DN320">
        <v>1</v>
      </c>
      <c r="DO320">
        <v>0</v>
      </c>
      <c r="DP320">
        <v>42</v>
      </c>
      <c r="DQ320">
        <v>1</v>
      </c>
      <c r="DR320">
        <v>6</v>
      </c>
      <c r="DS320">
        <v>0</v>
      </c>
      <c r="DT320">
        <v>1</v>
      </c>
      <c r="DU320">
        <v>3</v>
      </c>
      <c r="DV320">
        <v>174</v>
      </c>
      <c r="DW320">
        <v>22</v>
      </c>
      <c r="DX320">
        <v>1</v>
      </c>
      <c r="DY320">
        <v>9</v>
      </c>
      <c r="DZ320">
        <v>0</v>
      </c>
      <c r="EA320">
        <v>3</v>
      </c>
      <c r="EB320">
        <v>0</v>
      </c>
      <c r="EC320">
        <v>8</v>
      </c>
      <c r="ED320">
        <v>0</v>
      </c>
      <c r="EE320">
        <v>0</v>
      </c>
      <c r="EF320">
        <v>1</v>
      </c>
      <c r="EG320">
        <v>0</v>
      </c>
      <c r="EH320">
        <v>22</v>
      </c>
      <c r="EI320">
        <v>2</v>
      </c>
      <c r="EJ320">
        <v>0</v>
      </c>
      <c r="EK320">
        <v>1</v>
      </c>
      <c r="EL320">
        <v>0</v>
      </c>
      <c r="EM320">
        <v>0</v>
      </c>
      <c r="EN320">
        <v>0</v>
      </c>
      <c r="EO320">
        <v>0</v>
      </c>
      <c r="EP320">
        <v>1</v>
      </c>
      <c r="EQ320">
        <v>0</v>
      </c>
      <c r="ER320">
        <v>2</v>
      </c>
      <c r="ES320">
        <v>3</v>
      </c>
      <c r="ET320">
        <v>0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2</v>
      </c>
      <c r="FB320">
        <v>0</v>
      </c>
      <c r="FC320">
        <v>1</v>
      </c>
      <c r="FD320">
        <v>3</v>
      </c>
      <c r="FE320">
        <v>2</v>
      </c>
      <c r="FF320">
        <v>0</v>
      </c>
      <c r="FG320">
        <v>2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0</v>
      </c>
      <c r="FO320">
        <v>0</v>
      </c>
      <c r="FP320">
        <v>2</v>
      </c>
    </row>
    <row r="321" spans="1:172" ht="14.25">
      <c r="A321">
        <v>316</v>
      </c>
      <c r="B321" t="str">
        <f t="shared" si="59"/>
        <v>101601</v>
      </c>
      <c r="C321" t="str">
        <f t="shared" si="60"/>
        <v>m. Tomaszów Mazowiecki</v>
      </c>
      <c r="D321" t="str">
        <f t="shared" si="61"/>
        <v>tomaszowski</v>
      </c>
      <c r="E321" t="str">
        <f t="shared" si="49"/>
        <v>łódzkie</v>
      </c>
      <c r="F321">
        <v>7</v>
      </c>
      <c r="G321" t="str">
        <f>"Zespół Placówek Wychowania Pozaszkolnego, ul. Farbiarska 20, 97-200 Tomaszów Mazowiecki"</f>
        <v>Zespół Placówek Wychowania Pozaszkolnego, ul. Farbiarska 20, 97-200 Tomaszów Mazowiecki</v>
      </c>
      <c r="H321">
        <v>2196</v>
      </c>
      <c r="I321">
        <v>2196</v>
      </c>
      <c r="J321">
        <v>0</v>
      </c>
      <c r="K321">
        <v>1550</v>
      </c>
      <c r="L321">
        <v>1137</v>
      </c>
      <c r="M321">
        <v>413</v>
      </c>
      <c r="N321">
        <v>413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413</v>
      </c>
      <c r="Z321">
        <v>0</v>
      </c>
      <c r="AA321">
        <v>0</v>
      </c>
      <c r="AB321">
        <v>413</v>
      </c>
      <c r="AC321">
        <v>8</v>
      </c>
      <c r="AD321">
        <v>405</v>
      </c>
      <c r="AE321">
        <v>6</v>
      </c>
      <c r="AF321">
        <v>3</v>
      </c>
      <c r="AG321">
        <v>1</v>
      </c>
      <c r="AH321">
        <v>2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6</v>
      </c>
      <c r="AQ321">
        <v>2</v>
      </c>
      <c r="AR321">
        <v>1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1</v>
      </c>
      <c r="BB321">
        <v>2</v>
      </c>
      <c r="BC321">
        <v>22</v>
      </c>
      <c r="BD321">
        <v>14</v>
      </c>
      <c r="BE321">
        <v>1</v>
      </c>
      <c r="BF321">
        <v>0</v>
      </c>
      <c r="BG321">
        <v>1</v>
      </c>
      <c r="BH321">
        <v>0</v>
      </c>
      <c r="BI321">
        <v>2</v>
      </c>
      <c r="BJ321">
        <v>1</v>
      </c>
      <c r="BK321">
        <v>0</v>
      </c>
      <c r="BL321">
        <v>0</v>
      </c>
      <c r="BM321">
        <v>3</v>
      </c>
      <c r="BN321">
        <v>22</v>
      </c>
      <c r="BO321">
        <v>216</v>
      </c>
      <c r="BP321">
        <v>185</v>
      </c>
      <c r="BQ321">
        <v>3</v>
      </c>
      <c r="BR321">
        <v>1</v>
      </c>
      <c r="BS321">
        <v>0</v>
      </c>
      <c r="BT321">
        <v>0</v>
      </c>
      <c r="BU321">
        <v>7</v>
      </c>
      <c r="BV321">
        <v>2</v>
      </c>
      <c r="BW321">
        <v>17</v>
      </c>
      <c r="BX321">
        <v>1</v>
      </c>
      <c r="BY321">
        <v>0</v>
      </c>
      <c r="BZ321">
        <v>216</v>
      </c>
      <c r="CA321">
        <v>9</v>
      </c>
      <c r="CB321">
        <v>2</v>
      </c>
      <c r="CC321">
        <v>0</v>
      </c>
      <c r="CD321">
        <v>6</v>
      </c>
      <c r="CE321">
        <v>0</v>
      </c>
      <c r="CF321">
        <v>0</v>
      </c>
      <c r="CG321">
        <v>0</v>
      </c>
      <c r="CH321">
        <v>1</v>
      </c>
      <c r="CI321">
        <v>0</v>
      </c>
      <c r="CJ321">
        <v>0</v>
      </c>
      <c r="CK321">
        <v>0</v>
      </c>
      <c r="CL321">
        <v>9</v>
      </c>
      <c r="CM321">
        <v>9</v>
      </c>
      <c r="CN321">
        <v>8</v>
      </c>
      <c r="CO321">
        <v>1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9</v>
      </c>
      <c r="CY321">
        <v>32</v>
      </c>
      <c r="CZ321">
        <v>23</v>
      </c>
      <c r="DA321">
        <v>5</v>
      </c>
      <c r="DB321">
        <v>2</v>
      </c>
      <c r="DC321">
        <v>1</v>
      </c>
      <c r="DD321">
        <v>0</v>
      </c>
      <c r="DE321">
        <v>0</v>
      </c>
      <c r="DF321">
        <v>0</v>
      </c>
      <c r="DG321">
        <v>0</v>
      </c>
      <c r="DH321">
        <v>1</v>
      </c>
      <c r="DI321">
        <v>0</v>
      </c>
      <c r="DJ321">
        <v>32</v>
      </c>
      <c r="DK321">
        <v>99</v>
      </c>
      <c r="DL321">
        <v>66</v>
      </c>
      <c r="DM321">
        <v>17</v>
      </c>
      <c r="DN321">
        <v>0</v>
      </c>
      <c r="DO321">
        <v>0</v>
      </c>
      <c r="DP321">
        <v>13</v>
      </c>
      <c r="DQ321">
        <v>0</v>
      </c>
      <c r="DR321">
        <v>0</v>
      </c>
      <c r="DS321">
        <v>2</v>
      </c>
      <c r="DT321">
        <v>1</v>
      </c>
      <c r="DU321">
        <v>0</v>
      </c>
      <c r="DV321">
        <v>99</v>
      </c>
      <c r="DW321">
        <v>7</v>
      </c>
      <c r="DX321">
        <v>1</v>
      </c>
      <c r="DY321">
        <v>3</v>
      </c>
      <c r="DZ321">
        <v>0</v>
      </c>
      <c r="EA321">
        <v>0</v>
      </c>
      <c r="EB321">
        <v>1</v>
      </c>
      <c r="EC321">
        <v>1</v>
      </c>
      <c r="ED321">
        <v>0</v>
      </c>
      <c r="EE321">
        <v>0</v>
      </c>
      <c r="EF321">
        <v>0</v>
      </c>
      <c r="EG321">
        <v>1</v>
      </c>
      <c r="EH321">
        <v>7</v>
      </c>
      <c r="EI321">
        <v>2</v>
      </c>
      <c r="EJ321">
        <v>0</v>
      </c>
      <c r="EK321">
        <v>1</v>
      </c>
      <c r="EL321">
        <v>0</v>
      </c>
      <c r="EM321">
        <v>0</v>
      </c>
      <c r="EN321">
        <v>0</v>
      </c>
      <c r="EO321">
        <v>0</v>
      </c>
      <c r="EP321">
        <v>1</v>
      </c>
      <c r="EQ321">
        <v>0</v>
      </c>
      <c r="ER321">
        <v>2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1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1</v>
      </c>
      <c r="FP321">
        <v>1</v>
      </c>
    </row>
    <row r="322" spans="1:172" ht="14.25">
      <c r="A322">
        <v>317</v>
      </c>
      <c r="B322" t="str">
        <f t="shared" si="59"/>
        <v>101601</v>
      </c>
      <c r="C322" t="str">
        <f t="shared" si="60"/>
        <v>m. Tomaszów Mazowiecki</v>
      </c>
      <c r="D322" t="str">
        <f t="shared" si="61"/>
        <v>tomaszowski</v>
      </c>
      <c r="E322" t="str">
        <f t="shared" si="49"/>
        <v>łódzkie</v>
      </c>
      <c r="F322">
        <v>8</v>
      </c>
      <c r="G322" t="str">
        <f>"ZHP Chorągiew Łódzka Komenda Hufca, ul. Niebrowska 14, 97-200 Tomaszów Mazowiecki"</f>
        <v>ZHP Chorągiew Łódzka Komenda Hufca, ul. Niebrowska 14, 97-200 Tomaszów Mazowiecki</v>
      </c>
      <c r="H322">
        <v>2252</v>
      </c>
      <c r="I322">
        <v>2252</v>
      </c>
      <c r="J322">
        <v>0</v>
      </c>
      <c r="K322">
        <v>1590</v>
      </c>
      <c r="L322">
        <v>1082</v>
      </c>
      <c r="M322">
        <v>508</v>
      </c>
      <c r="N322">
        <v>508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508</v>
      </c>
      <c r="Z322">
        <v>0</v>
      </c>
      <c r="AA322">
        <v>0</v>
      </c>
      <c r="AB322">
        <v>508</v>
      </c>
      <c r="AC322">
        <v>15</v>
      </c>
      <c r="AD322">
        <v>493</v>
      </c>
      <c r="AE322">
        <v>8</v>
      </c>
      <c r="AF322">
        <v>2</v>
      </c>
      <c r="AG322">
        <v>2</v>
      </c>
      <c r="AH322">
        <v>1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2</v>
      </c>
      <c r="AO322">
        <v>1</v>
      </c>
      <c r="AP322">
        <v>8</v>
      </c>
      <c r="AQ322">
        <v>2</v>
      </c>
      <c r="AR322">
        <v>1</v>
      </c>
      <c r="AS322">
        <v>0</v>
      </c>
      <c r="AT322">
        <v>0</v>
      </c>
      <c r="AU322">
        <v>0</v>
      </c>
      <c r="AV322">
        <v>1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2</v>
      </c>
      <c r="BC322">
        <v>47</v>
      </c>
      <c r="BD322">
        <v>25</v>
      </c>
      <c r="BE322">
        <v>2</v>
      </c>
      <c r="BF322">
        <v>1</v>
      </c>
      <c r="BG322">
        <v>2</v>
      </c>
      <c r="BH322">
        <v>6</v>
      </c>
      <c r="BI322">
        <v>0</v>
      </c>
      <c r="BJ322">
        <v>0</v>
      </c>
      <c r="BK322">
        <v>0</v>
      </c>
      <c r="BL322">
        <v>1</v>
      </c>
      <c r="BM322">
        <v>10</v>
      </c>
      <c r="BN322">
        <v>47</v>
      </c>
      <c r="BO322">
        <v>180</v>
      </c>
      <c r="BP322">
        <v>153</v>
      </c>
      <c r="BQ322">
        <v>2</v>
      </c>
      <c r="BR322">
        <v>2</v>
      </c>
      <c r="BS322">
        <v>0</v>
      </c>
      <c r="BT322">
        <v>1</v>
      </c>
      <c r="BU322">
        <v>5</v>
      </c>
      <c r="BV322">
        <v>0</v>
      </c>
      <c r="BW322">
        <v>12</v>
      </c>
      <c r="BX322">
        <v>3</v>
      </c>
      <c r="BY322">
        <v>2</v>
      </c>
      <c r="BZ322">
        <v>180</v>
      </c>
      <c r="CA322">
        <v>17</v>
      </c>
      <c r="CB322">
        <v>1</v>
      </c>
      <c r="CC322">
        <v>2</v>
      </c>
      <c r="CD322">
        <v>14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17</v>
      </c>
      <c r="CM322">
        <v>14</v>
      </c>
      <c r="CN322">
        <v>4</v>
      </c>
      <c r="CO322">
        <v>7</v>
      </c>
      <c r="CP322">
        <v>0</v>
      </c>
      <c r="CQ322">
        <v>2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1</v>
      </c>
      <c r="CX322">
        <v>14</v>
      </c>
      <c r="CY322">
        <v>30</v>
      </c>
      <c r="CZ322">
        <v>7</v>
      </c>
      <c r="DA322">
        <v>1</v>
      </c>
      <c r="DB322">
        <v>4</v>
      </c>
      <c r="DC322">
        <v>1</v>
      </c>
      <c r="DD322">
        <v>0</v>
      </c>
      <c r="DE322">
        <v>2</v>
      </c>
      <c r="DF322">
        <v>7</v>
      </c>
      <c r="DG322">
        <v>2</v>
      </c>
      <c r="DH322">
        <v>4</v>
      </c>
      <c r="DI322">
        <v>2</v>
      </c>
      <c r="DJ322">
        <v>30</v>
      </c>
      <c r="DK322">
        <v>166</v>
      </c>
      <c r="DL322">
        <v>96</v>
      </c>
      <c r="DM322">
        <v>26</v>
      </c>
      <c r="DN322">
        <v>1</v>
      </c>
      <c r="DO322">
        <v>3</v>
      </c>
      <c r="DP322">
        <v>33</v>
      </c>
      <c r="DQ322">
        <v>0</v>
      </c>
      <c r="DR322">
        <v>2</v>
      </c>
      <c r="DS322">
        <v>1</v>
      </c>
      <c r="DT322">
        <v>1</v>
      </c>
      <c r="DU322">
        <v>3</v>
      </c>
      <c r="DV322">
        <v>166</v>
      </c>
      <c r="DW322">
        <v>22</v>
      </c>
      <c r="DX322">
        <v>1</v>
      </c>
      <c r="DY322">
        <v>11</v>
      </c>
      <c r="DZ322">
        <v>1</v>
      </c>
      <c r="EA322">
        <v>0</v>
      </c>
      <c r="EB322">
        <v>2</v>
      </c>
      <c r="EC322">
        <v>5</v>
      </c>
      <c r="ED322">
        <v>0</v>
      </c>
      <c r="EE322">
        <v>0</v>
      </c>
      <c r="EF322">
        <v>1</v>
      </c>
      <c r="EG322">
        <v>1</v>
      </c>
      <c r="EH322">
        <v>22</v>
      </c>
      <c r="EI322">
        <v>2</v>
      </c>
      <c r="EJ322">
        <v>0</v>
      </c>
      <c r="EK322">
        <v>1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1</v>
      </c>
      <c r="ER322">
        <v>2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5</v>
      </c>
      <c r="FF322">
        <v>2</v>
      </c>
      <c r="FG322">
        <v>1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2</v>
      </c>
      <c r="FN322">
        <v>0</v>
      </c>
      <c r="FO322">
        <v>0</v>
      </c>
      <c r="FP322">
        <v>5</v>
      </c>
    </row>
    <row r="323" spans="1:172" ht="14.25">
      <c r="A323">
        <v>318</v>
      </c>
      <c r="B323" t="str">
        <f t="shared" si="59"/>
        <v>101601</v>
      </c>
      <c r="C323" t="str">
        <f t="shared" si="60"/>
        <v>m. Tomaszów Mazowiecki</v>
      </c>
      <c r="D323" t="str">
        <f t="shared" si="61"/>
        <v>tomaszowski</v>
      </c>
      <c r="E323" t="str">
        <f t="shared" si="49"/>
        <v>łódzkie</v>
      </c>
      <c r="F323">
        <v>9</v>
      </c>
      <c r="G323" t="str">
        <f>"Specjalny Ośrodek Szkolno-Wychowawczy, ul. Majowa 1/13, 97-200 Tomaszów Mazowiecki"</f>
        <v>Specjalny Ośrodek Szkolno-Wychowawczy, ul. Majowa 1/13, 97-200 Tomaszów Mazowiecki</v>
      </c>
      <c r="H323">
        <v>2122</v>
      </c>
      <c r="I323">
        <v>2122</v>
      </c>
      <c r="J323">
        <v>0</v>
      </c>
      <c r="K323">
        <v>1500</v>
      </c>
      <c r="L323">
        <v>990</v>
      </c>
      <c r="M323">
        <v>510</v>
      </c>
      <c r="N323">
        <v>510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510</v>
      </c>
      <c r="Z323">
        <v>0</v>
      </c>
      <c r="AA323">
        <v>0</v>
      </c>
      <c r="AB323">
        <v>510</v>
      </c>
      <c r="AC323">
        <v>10</v>
      </c>
      <c r="AD323">
        <v>500</v>
      </c>
      <c r="AE323">
        <v>3</v>
      </c>
      <c r="AF323">
        <v>1</v>
      </c>
      <c r="AG323">
        <v>0</v>
      </c>
      <c r="AH323">
        <v>1</v>
      </c>
      <c r="AI323">
        <v>0</v>
      </c>
      <c r="AJ323">
        <v>0</v>
      </c>
      <c r="AK323">
        <v>1</v>
      </c>
      <c r="AL323">
        <v>0</v>
      </c>
      <c r="AM323">
        <v>0</v>
      </c>
      <c r="AN323">
        <v>0</v>
      </c>
      <c r="AO323">
        <v>0</v>
      </c>
      <c r="AP323">
        <v>3</v>
      </c>
      <c r="AQ323">
        <v>5</v>
      </c>
      <c r="AR323">
        <v>2</v>
      </c>
      <c r="AS323">
        <v>0</v>
      </c>
      <c r="AT323">
        <v>1</v>
      </c>
      <c r="AU323">
        <v>0</v>
      </c>
      <c r="AV323">
        <v>0</v>
      </c>
      <c r="AW323">
        <v>2</v>
      </c>
      <c r="AX323">
        <v>0</v>
      </c>
      <c r="AY323">
        <v>0</v>
      </c>
      <c r="AZ323">
        <v>0</v>
      </c>
      <c r="BA323">
        <v>0</v>
      </c>
      <c r="BB323">
        <v>5</v>
      </c>
      <c r="BC323">
        <v>37</v>
      </c>
      <c r="BD323">
        <v>17</v>
      </c>
      <c r="BE323">
        <v>2</v>
      </c>
      <c r="BF323">
        <v>1</v>
      </c>
      <c r="BG323">
        <v>0</v>
      </c>
      <c r="BH323">
        <v>2</v>
      </c>
      <c r="BI323">
        <v>0</v>
      </c>
      <c r="BJ323">
        <v>0</v>
      </c>
      <c r="BK323">
        <v>0</v>
      </c>
      <c r="BL323">
        <v>2</v>
      </c>
      <c r="BM323">
        <v>13</v>
      </c>
      <c r="BN323">
        <v>37</v>
      </c>
      <c r="BO323">
        <v>200</v>
      </c>
      <c r="BP323">
        <v>183</v>
      </c>
      <c r="BQ323">
        <v>1</v>
      </c>
      <c r="BR323">
        <v>4</v>
      </c>
      <c r="BS323">
        <v>1</v>
      </c>
      <c r="BT323">
        <v>0</v>
      </c>
      <c r="BU323">
        <v>4</v>
      </c>
      <c r="BV323">
        <v>0</v>
      </c>
      <c r="BW323">
        <v>5</v>
      </c>
      <c r="BX323">
        <v>1</v>
      </c>
      <c r="BY323">
        <v>1</v>
      </c>
      <c r="BZ323">
        <v>200</v>
      </c>
      <c r="CA323">
        <v>21</v>
      </c>
      <c r="CB323">
        <v>3</v>
      </c>
      <c r="CC323">
        <v>0</v>
      </c>
      <c r="CD323">
        <v>17</v>
      </c>
      <c r="CE323">
        <v>1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21</v>
      </c>
      <c r="CM323">
        <v>11</v>
      </c>
      <c r="CN323">
        <v>5</v>
      </c>
      <c r="CO323">
        <v>6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11</v>
      </c>
      <c r="CY323">
        <v>19</v>
      </c>
      <c r="CZ323">
        <v>12</v>
      </c>
      <c r="DA323">
        <v>1</v>
      </c>
      <c r="DB323">
        <v>2</v>
      </c>
      <c r="DC323">
        <v>1</v>
      </c>
      <c r="DD323">
        <v>0</v>
      </c>
      <c r="DE323">
        <v>0</v>
      </c>
      <c r="DF323">
        <v>2</v>
      </c>
      <c r="DG323">
        <v>1</v>
      </c>
      <c r="DH323">
        <v>0</v>
      </c>
      <c r="DI323">
        <v>0</v>
      </c>
      <c r="DJ323">
        <v>19</v>
      </c>
      <c r="DK323">
        <v>180</v>
      </c>
      <c r="DL323">
        <v>122</v>
      </c>
      <c r="DM323">
        <v>18</v>
      </c>
      <c r="DN323">
        <v>1</v>
      </c>
      <c r="DO323">
        <v>2</v>
      </c>
      <c r="DP323">
        <v>32</v>
      </c>
      <c r="DQ323">
        <v>0</v>
      </c>
      <c r="DR323">
        <v>0</v>
      </c>
      <c r="DS323">
        <v>1</v>
      </c>
      <c r="DT323">
        <v>2</v>
      </c>
      <c r="DU323">
        <v>2</v>
      </c>
      <c r="DV323">
        <v>180</v>
      </c>
      <c r="DW323">
        <v>17</v>
      </c>
      <c r="DX323">
        <v>1</v>
      </c>
      <c r="DY323">
        <v>5</v>
      </c>
      <c r="DZ323">
        <v>0</v>
      </c>
      <c r="EA323">
        <v>1</v>
      </c>
      <c r="EB323">
        <v>0</v>
      </c>
      <c r="EC323">
        <v>6</v>
      </c>
      <c r="ED323">
        <v>1</v>
      </c>
      <c r="EE323">
        <v>1</v>
      </c>
      <c r="EF323">
        <v>1</v>
      </c>
      <c r="EG323">
        <v>1</v>
      </c>
      <c r="EH323">
        <v>17</v>
      </c>
      <c r="EI323">
        <v>2</v>
      </c>
      <c r="EJ323">
        <v>1</v>
      </c>
      <c r="EK323">
        <v>1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2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5</v>
      </c>
      <c r="FF323">
        <v>1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1</v>
      </c>
      <c r="FN323">
        <v>0</v>
      </c>
      <c r="FO323">
        <v>3</v>
      </c>
      <c r="FP323">
        <v>5</v>
      </c>
    </row>
    <row r="324" spans="1:172" ht="14.25">
      <c r="A324">
        <v>319</v>
      </c>
      <c r="B324" t="str">
        <f t="shared" si="59"/>
        <v>101601</v>
      </c>
      <c r="C324" t="str">
        <f t="shared" si="60"/>
        <v>m. Tomaszów Mazowiecki</v>
      </c>
      <c r="D324" t="str">
        <f t="shared" si="61"/>
        <v>tomaszowski</v>
      </c>
      <c r="E324" t="str">
        <f t="shared" si="49"/>
        <v>łódzkie</v>
      </c>
      <c r="F324">
        <v>10</v>
      </c>
      <c r="G324" t="str">
        <f>"Zespół Szkół Nr 8, ul. Gminna 5/9 4, 97-200 Tomaszów Mazowiecki"</f>
        <v>Zespół Szkół Nr 8, ul. Gminna 5/9 4, 97-200 Tomaszów Mazowiecki</v>
      </c>
      <c r="H324">
        <v>2175</v>
      </c>
      <c r="I324">
        <v>2175</v>
      </c>
      <c r="J324">
        <v>0</v>
      </c>
      <c r="K324">
        <v>1530</v>
      </c>
      <c r="L324">
        <v>1056</v>
      </c>
      <c r="M324">
        <v>474</v>
      </c>
      <c r="N324">
        <v>474</v>
      </c>
      <c r="O324">
        <v>0</v>
      </c>
      <c r="P324">
        <v>1</v>
      </c>
      <c r="Q324">
        <v>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474</v>
      </c>
      <c r="Z324">
        <v>0</v>
      </c>
      <c r="AA324">
        <v>0</v>
      </c>
      <c r="AB324">
        <v>474</v>
      </c>
      <c r="AC324">
        <v>10</v>
      </c>
      <c r="AD324">
        <v>464</v>
      </c>
      <c r="AE324">
        <v>13</v>
      </c>
      <c r="AF324">
        <v>7</v>
      </c>
      <c r="AG324">
        <v>1</v>
      </c>
      <c r="AH324">
        <v>2</v>
      </c>
      <c r="AI324">
        <v>0</v>
      </c>
      <c r="AJ324">
        <v>1</v>
      </c>
      <c r="AK324">
        <v>0</v>
      </c>
      <c r="AL324">
        <v>1</v>
      </c>
      <c r="AM324">
        <v>0</v>
      </c>
      <c r="AN324">
        <v>1</v>
      </c>
      <c r="AO324">
        <v>0</v>
      </c>
      <c r="AP324">
        <v>13</v>
      </c>
      <c r="AQ324">
        <v>7</v>
      </c>
      <c r="AR324">
        <v>6</v>
      </c>
      <c r="AS324">
        <v>1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7</v>
      </c>
      <c r="BC324">
        <v>30</v>
      </c>
      <c r="BD324">
        <v>13</v>
      </c>
      <c r="BE324">
        <v>2</v>
      </c>
      <c r="BF324">
        <v>2</v>
      </c>
      <c r="BG324">
        <v>2</v>
      </c>
      <c r="BH324">
        <v>2</v>
      </c>
      <c r="BI324">
        <v>1</v>
      </c>
      <c r="BJ324">
        <v>4</v>
      </c>
      <c r="BK324">
        <v>1</v>
      </c>
      <c r="BL324">
        <v>0</v>
      </c>
      <c r="BM324">
        <v>3</v>
      </c>
      <c r="BN324">
        <v>30</v>
      </c>
      <c r="BO324">
        <v>233</v>
      </c>
      <c r="BP324">
        <v>196</v>
      </c>
      <c r="BQ324">
        <v>8</v>
      </c>
      <c r="BR324">
        <v>3</v>
      </c>
      <c r="BS324">
        <v>3</v>
      </c>
      <c r="BT324">
        <v>0</v>
      </c>
      <c r="BU324">
        <v>6</v>
      </c>
      <c r="BV324">
        <v>0</v>
      </c>
      <c r="BW324">
        <v>15</v>
      </c>
      <c r="BX324">
        <v>0</v>
      </c>
      <c r="BY324">
        <v>2</v>
      </c>
      <c r="BZ324">
        <v>233</v>
      </c>
      <c r="CA324">
        <v>10</v>
      </c>
      <c r="CB324">
        <v>2</v>
      </c>
      <c r="CC324">
        <v>0</v>
      </c>
      <c r="CD324">
        <v>7</v>
      </c>
      <c r="CE324">
        <v>1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10</v>
      </c>
      <c r="CM324">
        <v>10</v>
      </c>
      <c r="CN324">
        <v>5</v>
      </c>
      <c r="CO324">
        <v>4</v>
      </c>
      <c r="CP324">
        <v>1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10</v>
      </c>
      <c r="CY324">
        <v>33</v>
      </c>
      <c r="CZ324">
        <v>18</v>
      </c>
      <c r="DA324">
        <v>5</v>
      </c>
      <c r="DB324">
        <v>2</v>
      </c>
      <c r="DC324">
        <v>0</v>
      </c>
      <c r="DD324">
        <v>1</v>
      </c>
      <c r="DE324">
        <v>1</v>
      </c>
      <c r="DF324">
        <v>0</v>
      </c>
      <c r="DG324">
        <v>3</v>
      </c>
      <c r="DH324">
        <v>1</v>
      </c>
      <c r="DI324">
        <v>2</v>
      </c>
      <c r="DJ324">
        <v>33</v>
      </c>
      <c r="DK324">
        <v>100</v>
      </c>
      <c r="DL324">
        <v>59</v>
      </c>
      <c r="DM324">
        <v>9</v>
      </c>
      <c r="DN324">
        <v>0</v>
      </c>
      <c r="DO324">
        <v>1</v>
      </c>
      <c r="DP324">
        <v>26</v>
      </c>
      <c r="DQ324">
        <v>0</v>
      </c>
      <c r="DR324">
        <v>1</v>
      </c>
      <c r="DS324">
        <v>0</v>
      </c>
      <c r="DT324">
        <v>2</v>
      </c>
      <c r="DU324">
        <v>2</v>
      </c>
      <c r="DV324">
        <v>100</v>
      </c>
      <c r="DW324">
        <v>24</v>
      </c>
      <c r="DX324">
        <v>2</v>
      </c>
      <c r="DY324">
        <v>7</v>
      </c>
      <c r="DZ324">
        <v>0</v>
      </c>
      <c r="EA324">
        <v>2</v>
      </c>
      <c r="EB324">
        <v>2</v>
      </c>
      <c r="EC324">
        <v>7</v>
      </c>
      <c r="ED324">
        <v>0</v>
      </c>
      <c r="EE324">
        <v>2</v>
      </c>
      <c r="EF324">
        <v>0</v>
      </c>
      <c r="EG324">
        <v>2</v>
      </c>
      <c r="EH324">
        <v>24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3</v>
      </c>
      <c r="ET324">
        <v>3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3</v>
      </c>
      <c r="FE324">
        <v>1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1</v>
      </c>
      <c r="FN324">
        <v>0</v>
      </c>
      <c r="FO324">
        <v>0</v>
      </c>
      <c r="FP324">
        <v>1</v>
      </c>
    </row>
    <row r="325" spans="1:172" ht="14.25">
      <c r="A325">
        <v>320</v>
      </c>
      <c r="B325" t="str">
        <f t="shared" si="59"/>
        <v>101601</v>
      </c>
      <c r="C325" t="str">
        <f t="shared" si="60"/>
        <v>m. Tomaszów Mazowiecki</v>
      </c>
      <c r="D325" t="str">
        <f t="shared" si="61"/>
        <v>tomaszowski</v>
      </c>
      <c r="E325" t="str">
        <f t="shared" si="49"/>
        <v>łódzkie</v>
      </c>
      <c r="F325">
        <v>11</v>
      </c>
      <c r="G325" t="str">
        <f>"Centrum Dialogu Społecznego i Wolontariatu, ul. Plac Kościuszki 18, 97-200 Tomaszów Mazowiecki"</f>
        <v>Centrum Dialogu Społecznego i Wolontariatu, ul. Plac Kościuszki 18, 97-200 Tomaszów Mazowiecki</v>
      </c>
      <c r="H325">
        <v>2213</v>
      </c>
      <c r="I325">
        <v>2213</v>
      </c>
      <c r="J325">
        <v>0</v>
      </c>
      <c r="K325">
        <v>1561</v>
      </c>
      <c r="L325">
        <v>1239</v>
      </c>
      <c r="M325">
        <v>322</v>
      </c>
      <c r="N325">
        <v>322</v>
      </c>
      <c r="O325">
        <v>0</v>
      </c>
      <c r="P325">
        <v>0</v>
      </c>
      <c r="Q325">
        <v>0</v>
      </c>
      <c r="R325">
        <v>2</v>
      </c>
      <c r="S325">
        <v>2</v>
      </c>
      <c r="T325">
        <v>0</v>
      </c>
      <c r="U325">
        <v>0</v>
      </c>
      <c r="V325">
        <v>0</v>
      </c>
      <c r="W325">
        <v>0</v>
      </c>
      <c r="X325">
        <v>2</v>
      </c>
      <c r="Y325">
        <v>324</v>
      </c>
      <c r="Z325">
        <v>2</v>
      </c>
      <c r="AA325">
        <v>0</v>
      </c>
      <c r="AB325">
        <v>324</v>
      </c>
      <c r="AC325">
        <v>8</v>
      </c>
      <c r="AD325">
        <v>316</v>
      </c>
      <c r="AE325">
        <v>8</v>
      </c>
      <c r="AF325">
        <v>7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1</v>
      </c>
      <c r="AN325">
        <v>0</v>
      </c>
      <c r="AO325">
        <v>0</v>
      </c>
      <c r="AP325">
        <v>8</v>
      </c>
      <c r="AQ325">
        <v>7</v>
      </c>
      <c r="AR325">
        <v>6</v>
      </c>
      <c r="AS325">
        <v>0</v>
      </c>
      <c r="AT325">
        <v>0</v>
      </c>
      <c r="AU325">
        <v>0</v>
      </c>
      <c r="AV325">
        <v>1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7</v>
      </c>
      <c r="BC325">
        <v>27</v>
      </c>
      <c r="BD325">
        <v>13</v>
      </c>
      <c r="BE325">
        <v>4</v>
      </c>
      <c r="BF325">
        <v>0</v>
      </c>
      <c r="BG325">
        <v>2</v>
      </c>
      <c r="BH325">
        <v>0</v>
      </c>
      <c r="BI325">
        <v>2</v>
      </c>
      <c r="BJ325">
        <v>0</v>
      </c>
      <c r="BK325">
        <v>0</v>
      </c>
      <c r="BL325">
        <v>1</v>
      </c>
      <c r="BM325">
        <v>5</v>
      </c>
      <c r="BN325">
        <v>27</v>
      </c>
      <c r="BO325">
        <v>158</v>
      </c>
      <c r="BP325">
        <v>121</v>
      </c>
      <c r="BQ325">
        <v>3</v>
      </c>
      <c r="BR325">
        <v>5</v>
      </c>
      <c r="BS325">
        <v>2</v>
      </c>
      <c r="BT325">
        <v>1</v>
      </c>
      <c r="BU325">
        <v>5</v>
      </c>
      <c r="BV325">
        <v>0</v>
      </c>
      <c r="BW325">
        <v>21</v>
      </c>
      <c r="BX325">
        <v>0</v>
      </c>
      <c r="BY325">
        <v>0</v>
      </c>
      <c r="BZ325">
        <v>158</v>
      </c>
      <c r="CA325">
        <v>10</v>
      </c>
      <c r="CB325">
        <v>2</v>
      </c>
      <c r="CC325">
        <v>0</v>
      </c>
      <c r="CD325">
        <v>7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1</v>
      </c>
      <c r="CK325">
        <v>0</v>
      </c>
      <c r="CL325">
        <v>10</v>
      </c>
      <c r="CM325">
        <v>11</v>
      </c>
      <c r="CN325">
        <v>2</v>
      </c>
      <c r="CO325">
        <v>9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11</v>
      </c>
      <c r="CY325">
        <v>18</v>
      </c>
      <c r="CZ325">
        <v>11</v>
      </c>
      <c r="DA325">
        <v>0</v>
      </c>
      <c r="DB325">
        <v>3</v>
      </c>
      <c r="DC325">
        <v>1</v>
      </c>
      <c r="DD325">
        <v>1</v>
      </c>
      <c r="DE325">
        <v>0</v>
      </c>
      <c r="DF325">
        <v>0</v>
      </c>
      <c r="DG325">
        <v>0</v>
      </c>
      <c r="DH325">
        <v>1</v>
      </c>
      <c r="DI325">
        <v>1</v>
      </c>
      <c r="DJ325">
        <v>18</v>
      </c>
      <c r="DK325">
        <v>70</v>
      </c>
      <c r="DL325">
        <v>32</v>
      </c>
      <c r="DM325">
        <v>11</v>
      </c>
      <c r="DN325">
        <v>1</v>
      </c>
      <c r="DO325">
        <v>0</v>
      </c>
      <c r="DP325">
        <v>25</v>
      </c>
      <c r="DQ325">
        <v>0</v>
      </c>
      <c r="DR325">
        <v>0</v>
      </c>
      <c r="DS325">
        <v>0</v>
      </c>
      <c r="DT325">
        <v>0</v>
      </c>
      <c r="DU325">
        <v>1</v>
      </c>
      <c r="DV325">
        <v>70</v>
      </c>
      <c r="DW325">
        <v>5</v>
      </c>
      <c r="DX325">
        <v>1</v>
      </c>
      <c r="DY325">
        <v>2</v>
      </c>
      <c r="DZ325">
        <v>0</v>
      </c>
      <c r="EA325">
        <v>0</v>
      </c>
      <c r="EB325">
        <v>0</v>
      </c>
      <c r="EC325">
        <v>2</v>
      </c>
      <c r="ED325">
        <v>0</v>
      </c>
      <c r="EE325">
        <v>0</v>
      </c>
      <c r="EF325">
        <v>0</v>
      </c>
      <c r="EG325">
        <v>0</v>
      </c>
      <c r="EH325">
        <v>5</v>
      </c>
      <c r="EI325">
        <v>1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1</v>
      </c>
      <c r="ER325">
        <v>1</v>
      </c>
      <c r="ES325">
        <v>0</v>
      </c>
      <c r="ET325">
        <v>0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1</v>
      </c>
      <c r="FF325">
        <v>0</v>
      </c>
      <c r="FG325">
        <v>1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1</v>
      </c>
    </row>
    <row r="326" spans="1:172" ht="14.25">
      <c r="A326">
        <v>321</v>
      </c>
      <c r="B326" t="str">
        <f t="shared" si="59"/>
        <v>101601</v>
      </c>
      <c r="C326" t="str">
        <f t="shared" si="60"/>
        <v>m. Tomaszów Mazowiecki</v>
      </c>
      <c r="D326" t="str">
        <f t="shared" si="61"/>
        <v>tomaszowski</v>
      </c>
      <c r="E326" t="str">
        <f aca="true" t="shared" si="62" ref="E326:E389">"łódzkie"</f>
        <v>łódzkie</v>
      </c>
      <c r="F326">
        <v>12</v>
      </c>
      <c r="G326" t="str">
        <f>"Zespół Szkół Ponadgimnazjalnych Nr 1, ul. Św. Antoniego 29, 97-200 Tomaszów Mazowiecki"</f>
        <v>Zespół Szkół Ponadgimnazjalnych Nr 1, ul. Św. Antoniego 29, 97-200 Tomaszów Mazowiecki</v>
      </c>
      <c r="H326">
        <v>2249</v>
      </c>
      <c r="I326">
        <v>2249</v>
      </c>
      <c r="J326">
        <v>0</v>
      </c>
      <c r="K326">
        <v>1600</v>
      </c>
      <c r="L326">
        <v>1145</v>
      </c>
      <c r="M326">
        <v>455</v>
      </c>
      <c r="N326">
        <v>455</v>
      </c>
      <c r="O326">
        <v>0</v>
      </c>
      <c r="P326">
        <v>0</v>
      </c>
      <c r="Q326">
        <v>2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455</v>
      </c>
      <c r="Z326">
        <v>0</v>
      </c>
      <c r="AA326">
        <v>0</v>
      </c>
      <c r="AB326">
        <v>455</v>
      </c>
      <c r="AC326">
        <v>9</v>
      </c>
      <c r="AD326">
        <v>446</v>
      </c>
      <c r="AE326">
        <v>5</v>
      </c>
      <c r="AF326">
        <v>2</v>
      </c>
      <c r="AG326">
        <v>0</v>
      </c>
      <c r="AH326">
        <v>1</v>
      </c>
      <c r="AI326">
        <v>1</v>
      </c>
      <c r="AJ326">
        <v>1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5</v>
      </c>
      <c r="AQ326">
        <v>7</v>
      </c>
      <c r="AR326">
        <v>6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1</v>
      </c>
      <c r="BB326">
        <v>7</v>
      </c>
      <c r="BC326">
        <v>33</v>
      </c>
      <c r="BD326">
        <v>17</v>
      </c>
      <c r="BE326">
        <v>3</v>
      </c>
      <c r="BF326">
        <v>1</v>
      </c>
      <c r="BG326">
        <v>3</v>
      </c>
      <c r="BH326">
        <v>3</v>
      </c>
      <c r="BI326">
        <v>0</v>
      </c>
      <c r="BJ326">
        <v>0</v>
      </c>
      <c r="BK326">
        <v>0</v>
      </c>
      <c r="BL326">
        <v>1</v>
      </c>
      <c r="BM326">
        <v>5</v>
      </c>
      <c r="BN326">
        <v>33</v>
      </c>
      <c r="BO326">
        <v>196</v>
      </c>
      <c r="BP326">
        <v>151</v>
      </c>
      <c r="BQ326">
        <v>8</v>
      </c>
      <c r="BR326">
        <v>0</v>
      </c>
      <c r="BS326">
        <v>1</v>
      </c>
      <c r="BT326">
        <v>1</v>
      </c>
      <c r="BU326">
        <v>10</v>
      </c>
      <c r="BV326">
        <v>1</v>
      </c>
      <c r="BW326">
        <v>21</v>
      </c>
      <c r="BX326">
        <v>2</v>
      </c>
      <c r="BY326">
        <v>1</v>
      </c>
      <c r="BZ326">
        <v>196</v>
      </c>
      <c r="CA326">
        <v>18</v>
      </c>
      <c r="CB326">
        <v>3</v>
      </c>
      <c r="CC326">
        <v>1</v>
      </c>
      <c r="CD326">
        <v>12</v>
      </c>
      <c r="CE326">
        <v>1</v>
      </c>
      <c r="CF326">
        <v>0</v>
      </c>
      <c r="CG326">
        <v>0</v>
      </c>
      <c r="CH326">
        <v>0</v>
      </c>
      <c r="CI326">
        <v>1</v>
      </c>
      <c r="CJ326">
        <v>0</v>
      </c>
      <c r="CK326">
        <v>0</v>
      </c>
      <c r="CL326">
        <v>18</v>
      </c>
      <c r="CM326">
        <v>4</v>
      </c>
      <c r="CN326">
        <v>0</v>
      </c>
      <c r="CO326">
        <v>3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1</v>
      </c>
      <c r="CX326">
        <v>4</v>
      </c>
      <c r="CY326">
        <v>23</v>
      </c>
      <c r="CZ326">
        <v>15</v>
      </c>
      <c r="DA326">
        <v>2</v>
      </c>
      <c r="DB326">
        <v>0</v>
      </c>
      <c r="DC326">
        <v>1</v>
      </c>
      <c r="DD326">
        <v>1</v>
      </c>
      <c r="DE326">
        <v>1</v>
      </c>
      <c r="DF326">
        <v>0</v>
      </c>
      <c r="DG326">
        <v>0</v>
      </c>
      <c r="DH326">
        <v>2</v>
      </c>
      <c r="DI326">
        <v>1</v>
      </c>
      <c r="DJ326">
        <v>23</v>
      </c>
      <c r="DK326">
        <v>143</v>
      </c>
      <c r="DL326">
        <v>77</v>
      </c>
      <c r="DM326">
        <v>17</v>
      </c>
      <c r="DN326">
        <v>0</v>
      </c>
      <c r="DO326">
        <v>0</v>
      </c>
      <c r="DP326">
        <v>41</v>
      </c>
      <c r="DQ326">
        <v>3</v>
      </c>
      <c r="DR326">
        <v>1</v>
      </c>
      <c r="DS326">
        <v>0</v>
      </c>
      <c r="DT326">
        <v>1</v>
      </c>
      <c r="DU326">
        <v>3</v>
      </c>
      <c r="DV326">
        <v>143</v>
      </c>
      <c r="DW326">
        <v>10</v>
      </c>
      <c r="DX326">
        <v>2</v>
      </c>
      <c r="DY326">
        <v>4</v>
      </c>
      <c r="DZ326">
        <v>0</v>
      </c>
      <c r="EA326">
        <v>0</v>
      </c>
      <c r="EB326">
        <v>0</v>
      </c>
      <c r="EC326">
        <v>3</v>
      </c>
      <c r="ED326">
        <v>1</v>
      </c>
      <c r="EE326">
        <v>0</v>
      </c>
      <c r="EF326">
        <v>0</v>
      </c>
      <c r="EG326">
        <v>0</v>
      </c>
      <c r="EH326">
        <v>10</v>
      </c>
      <c r="EI326">
        <v>2</v>
      </c>
      <c r="EJ326">
        <v>0</v>
      </c>
      <c r="EK326">
        <v>0</v>
      </c>
      <c r="EL326">
        <v>2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2</v>
      </c>
      <c r="ES326">
        <v>0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5</v>
      </c>
      <c r="FF326">
        <v>2</v>
      </c>
      <c r="FG326">
        <v>2</v>
      </c>
      <c r="FH326">
        <v>0</v>
      </c>
      <c r="FI326">
        <v>1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5</v>
      </c>
    </row>
    <row r="327" spans="1:172" ht="14.25">
      <c r="A327">
        <v>322</v>
      </c>
      <c r="B327" t="str">
        <f t="shared" si="59"/>
        <v>101601</v>
      </c>
      <c r="C327" t="str">
        <f t="shared" si="60"/>
        <v>m. Tomaszów Mazowiecki</v>
      </c>
      <c r="D327" t="str">
        <f t="shared" si="61"/>
        <v>tomaszowski</v>
      </c>
      <c r="E327" t="str">
        <f t="shared" si="62"/>
        <v>łódzkie</v>
      </c>
      <c r="F327">
        <v>13</v>
      </c>
      <c r="G327" t="str">
        <f>"Przedszkole Nr 2, ul. Stefana Czarnieckiego 12/14, 97-200 Tomaszów Mazowiecki"</f>
        <v>Przedszkole Nr 2, ul. Stefana Czarnieckiego 12/14, 97-200 Tomaszów Mazowiecki</v>
      </c>
      <c r="H327">
        <v>2112</v>
      </c>
      <c r="I327">
        <v>2112</v>
      </c>
      <c r="J327">
        <v>0</v>
      </c>
      <c r="K327">
        <v>1489</v>
      </c>
      <c r="L327">
        <v>878</v>
      </c>
      <c r="M327">
        <v>611</v>
      </c>
      <c r="N327">
        <v>611</v>
      </c>
      <c r="O327">
        <v>0</v>
      </c>
      <c r="P327">
        <v>1</v>
      </c>
      <c r="Q327">
        <v>2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611</v>
      </c>
      <c r="Z327">
        <v>0</v>
      </c>
      <c r="AA327">
        <v>2</v>
      </c>
      <c r="AB327">
        <v>609</v>
      </c>
      <c r="AC327">
        <v>14</v>
      </c>
      <c r="AD327">
        <v>595</v>
      </c>
      <c r="AE327">
        <v>14</v>
      </c>
      <c r="AF327">
        <v>7</v>
      </c>
      <c r="AG327">
        <v>2</v>
      </c>
      <c r="AH327">
        <v>3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1</v>
      </c>
      <c r="AO327">
        <v>1</v>
      </c>
      <c r="AP327">
        <v>14</v>
      </c>
      <c r="AQ327">
        <v>8</v>
      </c>
      <c r="AR327">
        <v>5</v>
      </c>
      <c r="AS327">
        <v>0</v>
      </c>
      <c r="AT327">
        <v>0</v>
      </c>
      <c r="AU327">
        <v>0</v>
      </c>
      <c r="AV327">
        <v>1</v>
      </c>
      <c r="AW327">
        <v>0</v>
      </c>
      <c r="AX327">
        <v>0</v>
      </c>
      <c r="AY327">
        <v>0</v>
      </c>
      <c r="AZ327">
        <v>1</v>
      </c>
      <c r="BA327">
        <v>1</v>
      </c>
      <c r="BB327">
        <v>8</v>
      </c>
      <c r="BC327">
        <v>41</v>
      </c>
      <c r="BD327">
        <v>26</v>
      </c>
      <c r="BE327">
        <v>6</v>
      </c>
      <c r="BF327">
        <v>0</v>
      </c>
      <c r="BG327">
        <v>3</v>
      </c>
      <c r="BH327">
        <v>1</v>
      </c>
      <c r="BI327">
        <v>0</v>
      </c>
      <c r="BJ327">
        <v>1</v>
      </c>
      <c r="BK327">
        <v>0</v>
      </c>
      <c r="BL327">
        <v>1</v>
      </c>
      <c r="BM327">
        <v>3</v>
      </c>
      <c r="BN327">
        <v>41</v>
      </c>
      <c r="BO327">
        <v>255</v>
      </c>
      <c r="BP327">
        <v>213</v>
      </c>
      <c r="BQ327">
        <v>5</v>
      </c>
      <c r="BR327">
        <v>3</v>
      </c>
      <c r="BS327">
        <v>0</v>
      </c>
      <c r="BT327">
        <v>0</v>
      </c>
      <c r="BU327">
        <v>9</v>
      </c>
      <c r="BV327">
        <v>0</v>
      </c>
      <c r="BW327">
        <v>21</v>
      </c>
      <c r="BX327">
        <v>0</v>
      </c>
      <c r="BY327">
        <v>4</v>
      </c>
      <c r="BZ327">
        <v>255</v>
      </c>
      <c r="CA327">
        <v>23</v>
      </c>
      <c r="CB327">
        <v>0</v>
      </c>
      <c r="CC327">
        <v>2</v>
      </c>
      <c r="CD327">
        <v>16</v>
      </c>
      <c r="CE327">
        <v>1</v>
      </c>
      <c r="CF327">
        <v>0</v>
      </c>
      <c r="CG327">
        <v>0</v>
      </c>
      <c r="CH327">
        <v>0</v>
      </c>
      <c r="CI327">
        <v>0</v>
      </c>
      <c r="CJ327">
        <v>1</v>
      </c>
      <c r="CK327">
        <v>3</v>
      </c>
      <c r="CL327">
        <v>23</v>
      </c>
      <c r="CM327">
        <v>12</v>
      </c>
      <c r="CN327">
        <v>6</v>
      </c>
      <c r="CO327">
        <v>5</v>
      </c>
      <c r="CP327">
        <v>0</v>
      </c>
      <c r="CQ327">
        <v>1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12</v>
      </c>
      <c r="CY327">
        <v>33</v>
      </c>
      <c r="CZ327">
        <v>25</v>
      </c>
      <c r="DA327">
        <v>2</v>
      </c>
      <c r="DB327">
        <v>1</v>
      </c>
      <c r="DC327">
        <v>2</v>
      </c>
      <c r="DD327">
        <v>0</v>
      </c>
      <c r="DE327">
        <v>0</v>
      </c>
      <c r="DF327">
        <v>1</v>
      </c>
      <c r="DG327">
        <v>0</v>
      </c>
      <c r="DH327">
        <v>0</v>
      </c>
      <c r="DI327">
        <v>2</v>
      </c>
      <c r="DJ327">
        <v>33</v>
      </c>
      <c r="DK327">
        <v>188</v>
      </c>
      <c r="DL327">
        <v>99</v>
      </c>
      <c r="DM327">
        <v>22</v>
      </c>
      <c r="DN327">
        <v>1</v>
      </c>
      <c r="DO327">
        <v>0</v>
      </c>
      <c r="DP327">
        <v>54</v>
      </c>
      <c r="DQ327">
        <v>0</v>
      </c>
      <c r="DR327">
        <v>5</v>
      </c>
      <c r="DS327">
        <v>1</v>
      </c>
      <c r="DT327">
        <v>1</v>
      </c>
      <c r="DU327">
        <v>5</v>
      </c>
      <c r="DV327">
        <v>188</v>
      </c>
      <c r="DW327">
        <v>16</v>
      </c>
      <c r="DX327">
        <v>1</v>
      </c>
      <c r="DY327">
        <v>4</v>
      </c>
      <c r="DZ327">
        <v>0</v>
      </c>
      <c r="EA327">
        <v>1</v>
      </c>
      <c r="EB327">
        <v>0</v>
      </c>
      <c r="EC327">
        <v>5</v>
      </c>
      <c r="ED327">
        <v>1</v>
      </c>
      <c r="EE327">
        <v>0</v>
      </c>
      <c r="EF327">
        <v>0</v>
      </c>
      <c r="EG327">
        <v>4</v>
      </c>
      <c r="EH327">
        <v>16</v>
      </c>
      <c r="EI327">
        <v>2</v>
      </c>
      <c r="EJ327">
        <v>0</v>
      </c>
      <c r="EK327">
        <v>2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2</v>
      </c>
      <c r="ES327">
        <v>1</v>
      </c>
      <c r="ET327">
        <v>0</v>
      </c>
      <c r="EU327">
        <v>1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1</v>
      </c>
      <c r="FE327">
        <v>2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2</v>
      </c>
      <c r="FN327">
        <v>0</v>
      </c>
      <c r="FO327">
        <v>0</v>
      </c>
      <c r="FP327">
        <v>2</v>
      </c>
    </row>
    <row r="328" spans="1:172" ht="14.25">
      <c r="A328">
        <v>323</v>
      </c>
      <c r="B328" t="str">
        <f t="shared" si="59"/>
        <v>101601</v>
      </c>
      <c r="C328" t="str">
        <f t="shared" si="60"/>
        <v>m. Tomaszów Mazowiecki</v>
      </c>
      <c r="D328" t="str">
        <f t="shared" si="61"/>
        <v>tomaszowski</v>
      </c>
      <c r="E328" t="str">
        <f t="shared" si="62"/>
        <v>łódzkie</v>
      </c>
      <c r="F328">
        <v>14</v>
      </c>
      <c r="G328" t="str">
        <f>"Szkoła Podstawowa Nr 8, ul. Stolarska 21/27, 97-200 Tomaszów Mazowiecki"</f>
        <v>Szkoła Podstawowa Nr 8, ul. Stolarska 21/27, 97-200 Tomaszów Mazowiecki</v>
      </c>
      <c r="H328">
        <v>2336</v>
      </c>
      <c r="I328">
        <v>2336</v>
      </c>
      <c r="J328">
        <v>0</v>
      </c>
      <c r="K328">
        <v>1660</v>
      </c>
      <c r="L328">
        <v>1105</v>
      </c>
      <c r="M328">
        <v>555</v>
      </c>
      <c r="N328">
        <v>555</v>
      </c>
      <c r="O328">
        <v>0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555</v>
      </c>
      <c r="Z328">
        <v>0</v>
      </c>
      <c r="AA328">
        <v>0</v>
      </c>
      <c r="AB328">
        <v>555</v>
      </c>
      <c r="AC328">
        <v>25</v>
      </c>
      <c r="AD328">
        <v>530</v>
      </c>
      <c r="AE328">
        <v>4</v>
      </c>
      <c r="AF328">
        <v>2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2</v>
      </c>
      <c r="AN328">
        <v>0</v>
      </c>
      <c r="AO328">
        <v>0</v>
      </c>
      <c r="AP328">
        <v>4</v>
      </c>
      <c r="AQ328">
        <v>4</v>
      </c>
      <c r="AR328">
        <v>3</v>
      </c>
      <c r="AS328">
        <v>1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4</v>
      </c>
      <c r="BC328">
        <v>50</v>
      </c>
      <c r="BD328">
        <v>31</v>
      </c>
      <c r="BE328">
        <v>9</v>
      </c>
      <c r="BF328">
        <v>1</v>
      </c>
      <c r="BG328">
        <v>3</v>
      </c>
      <c r="BH328">
        <v>0</v>
      </c>
      <c r="BI328">
        <v>1</v>
      </c>
      <c r="BJ328">
        <v>0</v>
      </c>
      <c r="BK328">
        <v>0</v>
      </c>
      <c r="BL328">
        <v>2</v>
      </c>
      <c r="BM328">
        <v>3</v>
      </c>
      <c r="BN328">
        <v>50</v>
      </c>
      <c r="BO328">
        <v>180</v>
      </c>
      <c r="BP328">
        <v>142</v>
      </c>
      <c r="BQ328">
        <v>4</v>
      </c>
      <c r="BR328">
        <v>3</v>
      </c>
      <c r="BS328">
        <v>1</v>
      </c>
      <c r="BT328">
        <v>0</v>
      </c>
      <c r="BU328">
        <v>8</v>
      </c>
      <c r="BV328">
        <v>0</v>
      </c>
      <c r="BW328">
        <v>20</v>
      </c>
      <c r="BX328">
        <v>1</v>
      </c>
      <c r="BY328">
        <v>1</v>
      </c>
      <c r="BZ328">
        <v>180</v>
      </c>
      <c r="CA328">
        <v>29</v>
      </c>
      <c r="CB328">
        <v>2</v>
      </c>
      <c r="CC328">
        <v>3</v>
      </c>
      <c r="CD328">
        <v>23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1</v>
      </c>
      <c r="CK328">
        <v>0</v>
      </c>
      <c r="CL328">
        <v>29</v>
      </c>
      <c r="CM328">
        <v>13</v>
      </c>
      <c r="CN328">
        <v>7</v>
      </c>
      <c r="CO328">
        <v>2</v>
      </c>
      <c r="CP328">
        <v>0</v>
      </c>
      <c r="CQ328">
        <v>2</v>
      </c>
      <c r="CR328">
        <v>0</v>
      </c>
      <c r="CS328">
        <v>0</v>
      </c>
      <c r="CT328">
        <v>0</v>
      </c>
      <c r="CU328">
        <v>2</v>
      </c>
      <c r="CV328">
        <v>0</v>
      </c>
      <c r="CW328">
        <v>0</v>
      </c>
      <c r="CX328">
        <v>13</v>
      </c>
      <c r="CY328">
        <v>36</v>
      </c>
      <c r="CZ328">
        <v>23</v>
      </c>
      <c r="DA328">
        <v>5</v>
      </c>
      <c r="DB328">
        <v>1</v>
      </c>
      <c r="DC328">
        <v>1</v>
      </c>
      <c r="DD328">
        <v>1</v>
      </c>
      <c r="DE328">
        <v>2</v>
      </c>
      <c r="DF328">
        <v>1</v>
      </c>
      <c r="DG328">
        <v>0</v>
      </c>
      <c r="DH328">
        <v>0</v>
      </c>
      <c r="DI328">
        <v>2</v>
      </c>
      <c r="DJ328">
        <v>36</v>
      </c>
      <c r="DK328">
        <v>190</v>
      </c>
      <c r="DL328">
        <v>106</v>
      </c>
      <c r="DM328">
        <v>19</v>
      </c>
      <c r="DN328">
        <v>1</v>
      </c>
      <c r="DO328">
        <v>0</v>
      </c>
      <c r="DP328">
        <v>59</v>
      </c>
      <c r="DQ328">
        <v>2</v>
      </c>
      <c r="DR328">
        <v>0</v>
      </c>
      <c r="DS328">
        <v>1</v>
      </c>
      <c r="DT328">
        <v>0</v>
      </c>
      <c r="DU328">
        <v>2</v>
      </c>
      <c r="DV328">
        <v>190</v>
      </c>
      <c r="DW328">
        <v>15</v>
      </c>
      <c r="DX328">
        <v>1</v>
      </c>
      <c r="DY328">
        <v>2</v>
      </c>
      <c r="DZ328">
        <v>1</v>
      </c>
      <c r="EA328">
        <v>3</v>
      </c>
      <c r="EB328">
        <v>1</v>
      </c>
      <c r="EC328">
        <v>3</v>
      </c>
      <c r="ED328">
        <v>1</v>
      </c>
      <c r="EE328">
        <v>0</v>
      </c>
      <c r="EF328">
        <v>1</v>
      </c>
      <c r="EG328">
        <v>2</v>
      </c>
      <c r="EH328">
        <v>15</v>
      </c>
      <c r="EI328">
        <v>1</v>
      </c>
      <c r="EJ328">
        <v>1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1</v>
      </c>
      <c r="ES328">
        <v>3</v>
      </c>
      <c r="ET328">
        <v>0</v>
      </c>
      <c r="EU328">
        <v>0</v>
      </c>
      <c r="EV328">
        <v>2</v>
      </c>
      <c r="EW328">
        <v>0</v>
      </c>
      <c r="EX328">
        <v>0</v>
      </c>
      <c r="EY328">
        <v>1</v>
      </c>
      <c r="EZ328">
        <v>0</v>
      </c>
      <c r="FA328">
        <v>0</v>
      </c>
      <c r="FB328">
        <v>0</v>
      </c>
      <c r="FC328">
        <v>0</v>
      </c>
      <c r="FD328">
        <v>3</v>
      </c>
      <c r="FE328">
        <v>5</v>
      </c>
      <c r="FF328">
        <v>0</v>
      </c>
      <c r="FG328">
        <v>1</v>
      </c>
      <c r="FH328">
        <v>0</v>
      </c>
      <c r="FI328">
        <v>0</v>
      </c>
      <c r="FJ328">
        <v>0</v>
      </c>
      <c r="FK328">
        <v>0</v>
      </c>
      <c r="FL328">
        <v>2</v>
      </c>
      <c r="FM328">
        <v>0</v>
      </c>
      <c r="FN328">
        <v>0</v>
      </c>
      <c r="FO328">
        <v>2</v>
      </c>
      <c r="FP328">
        <v>5</v>
      </c>
    </row>
    <row r="329" spans="1:172" ht="14.25">
      <c r="A329">
        <v>324</v>
      </c>
      <c r="B329" t="str">
        <f t="shared" si="59"/>
        <v>101601</v>
      </c>
      <c r="C329" t="str">
        <f t="shared" si="60"/>
        <v>m. Tomaszów Mazowiecki</v>
      </c>
      <c r="D329" t="str">
        <f t="shared" si="61"/>
        <v>tomaszowski</v>
      </c>
      <c r="E329" t="str">
        <f t="shared" si="62"/>
        <v>łódzkie</v>
      </c>
      <c r="F329">
        <v>15</v>
      </c>
      <c r="G329" t="str">
        <f>"Gimnazjum Nr 7, ul. Św. Antoniego 43/45, 97-200 Tomaszów Mazowiecki"</f>
        <v>Gimnazjum Nr 7, ul. Św. Antoniego 43/45, 97-200 Tomaszów Mazowiecki</v>
      </c>
      <c r="H329">
        <v>2487</v>
      </c>
      <c r="I329">
        <v>2487</v>
      </c>
      <c r="J329">
        <v>0</v>
      </c>
      <c r="K329">
        <v>1760</v>
      </c>
      <c r="L329">
        <v>1100</v>
      </c>
      <c r="M329">
        <v>660</v>
      </c>
      <c r="N329">
        <v>660</v>
      </c>
      <c r="O329">
        <v>0</v>
      </c>
      <c r="P329">
        <v>0</v>
      </c>
      <c r="Q329">
        <v>3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660</v>
      </c>
      <c r="Z329">
        <v>0</v>
      </c>
      <c r="AA329">
        <v>0</v>
      </c>
      <c r="AB329">
        <v>660</v>
      </c>
      <c r="AC329">
        <v>24</v>
      </c>
      <c r="AD329">
        <v>636</v>
      </c>
      <c r="AE329">
        <v>9</v>
      </c>
      <c r="AF329">
        <v>4</v>
      </c>
      <c r="AG329">
        <v>1</v>
      </c>
      <c r="AH329">
        <v>3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1</v>
      </c>
      <c r="AO329">
        <v>0</v>
      </c>
      <c r="AP329">
        <v>9</v>
      </c>
      <c r="AQ329">
        <v>4</v>
      </c>
      <c r="AR329">
        <v>1</v>
      </c>
      <c r="AS329">
        <v>0</v>
      </c>
      <c r="AT329">
        <v>1</v>
      </c>
      <c r="AU329">
        <v>0</v>
      </c>
      <c r="AV329">
        <v>2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4</v>
      </c>
      <c r="BC329">
        <v>55</v>
      </c>
      <c r="BD329">
        <v>35</v>
      </c>
      <c r="BE329">
        <v>6</v>
      </c>
      <c r="BF329">
        <v>2</v>
      </c>
      <c r="BG329">
        <v>3</v>
      </c>
      <c r="BH329">
        <v>2</v>
      </c>
      <c r="BI329">
        <v>1</v>
      </c>
      <c r="BJ329">
        <v>0</v>
      </c>
      <c r="BK329">
        <v>0</v>
      </c>
      <c r="BL329">
        <v>2</v>
      </c>
      <c r="BM329">
        <v>4</v>
      </c>
      <c r="BN329">
        <v>55</v>
      </c>
      <c r="BO329">
        <v>278</v>
      </c>
      <c r="BP329">
        <v>233</v>
      </c>
      <c r="BQ329">
        <v>9</v>
      </c>
      <c r="BR329">
        <v>3</v>
      </c>
      <c r="BS329">
        <v>0</v>
      </c>
      <c r="BT329">
        <v>0</v>
      </c>
      <c r="BU329">
        <v>5</v>
      </c>
      <c r="BV329">
        <v>2</v>
      </c>
      <c r="BW329">
        <v>22</v>
      </c>
      <c r="BX329">
        <v>2</v>
      </c>
      <c r="BY329">
        <v>2</v>
      </c>
      <c r="BZ329">
        <v>278</v>
      </c>
      <c r="CA329">
        <v>25</v>
      </c>
      <c r="CB329">
        <v>3</v>
      </c>
      <c r="CC329">
        <v>1</v>
      </c>
      <c r="CD329">
        <v>20</v>
      </c>
      <c r="CE329">
        <v>1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25</v>
      </c>
      <c r="CM329">
        <v>18</v>
      </c>
      <c r="CN329">
        <v>5</v>
      </c>
      <c r="CO329">
        <v>9</v>
      </c>
      <c r="CP329">
        <v>1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3</v>
      </c>
      <c r="CX329">
        <v>18</v>
      </c>
      <c r="CY329">
        <v>20</v>
      </c>
      <c r="CZ329">
        <v>13</v>
      </c>
      <c r="DA329">
        <v>2</v>
      </c>
      <c r="DB329">
        <v>0</v>
      </c>
      <c r="DC329">
        <v>0</v>
      </c>
      <c r="DD329">
        <v>0</v>
      </c>
      <c r="DE329">
        <v>0</v>
      </c>
      <c r="DF329">
        <v>3</v>
      </c>
      <c r="DG329">
        <v>1</v>
      </c>
      <c r="DH329">
        <v>1</v>
      </c>
      <c r="DI329">
        <v>0</v>
      </c>
      <c r="DJ329">
        <v>20</v>
      </c>
      <c r="DK329">
        <v>197</v>
      </c>
      <c r="DL329">
        <v>110</v>
      </c>
      <c r="DM329">
        <v>24</v>
      </c>
      <c r="DN329">
        <v>2</v>
      </c>
      <c r="DO329">
        <v>1</v>
      </c>
      <c r="DP329">
        <v>52</v>
      </c>
      <c r="DQ329">
        <v>2</v>
      </c>
      <c r="DR329">
        <v>0</v>
      </c>
      <c r="DS329">
        <v>4</v>
      </c>
      <c r="DT329">
        <v>0</v>
      </c>
      <c r="DU329">
        <v>2</v>
      </c>
      <c r="DV329">
        <v>197</v>
      </c>
      <c r="DW329">
        <v>22</v>
      </c>
      <c r="DX329">
        <v>4</v>
      </c>
      <c r="DY329">
        <v>8</v>
      </c>
      <c r="DZ329">
        <v>1</v>
      </c>
      <c r="EA329">
        <v>2</v>
      </c>
      <c r="EB329">
        <v>1</v>
      </c>
      <c r="EC329">
        <v>6</v>
      </c>
      <c r="ED329">
        <v>0</v>
      </c>
      <c r="EE329">
        <v>0</v>
      </c>
      <c r="EF329">
        <v>0</v>
      </c>
      <c r="EG329">
        <v>0</v>
      </c>
      <c r="EH329">
        <v>22</v>
      </c>
      <c r="EI329">
        <v>7</v>
      </c>
      <c r="EJ329">
        <v>1</v>
      </c>
      <c r="EK329">
        <v>5</v>
      </c>
      <c r="EL329">
        <v>1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7</v>
      </c>
      <c r="ES329">
        <v>0</v>
      </c>
      <c r="ET329">
        <v>0</v>
      </c>
      <c r="EU329">
        <v>0</v>
      </c>
      <c r="EV329">
        <v>0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1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1</v>
      </c>
      <c r="FO329">
        <v>0</v>
      </c>
      <c r="FP329">
        <v>1</v>
      </c>
    </row>
    <row r="330" spans="1:172" ht="14.25">
      <c r="A330">
        <v>325</v>
      </c>
      <c r="B330" t="str">
        <f t="shared" si="59"/>
        <v>101601</v>
      </c>
      <c r="C330" t="str">
        <f t="shared" si="60"/>
        <v>m. Tomaszów Mazowiecki</v>
      </c>
      <c r="D330" t="str">
        <f t="shared" si="61"/>
        <v>tomaszowski</v>
      </c>
      <c r="E330" t="str">
        <f t="shared" si="62"/>
        <v>łódzkie</v>
      </c>
      <c r="F330">
        <v>16</v>
      </c>
      <c r="G330" t="str">
        <f>"Szkoła Podstawowa Nr 12, ul. Wiejska 29/31, 97-200 Tomaszów Mazowiecki"</f>
        <v>Szkoła Podstawowa Nr 12, ul. Wiejska 29/31, 97-200 Tomaszów Mazowiecki</v>
      </c>
      <c r="H330">
        <v>2366</v>
      </c>
      <c r="I330">
        <v>2366</v>
      </c>
      <c r="J330">
        <v>0</v>
      </c>
      <c r="K330">
        <v>1674</v>
      </c>
      <c r="L330">
        <v>1002</v>
      </c>
      <c r="M330">
        <v>672</v>
      </c>
      <c r="N330">
        <v>672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672</v>
      </c>
      <c r="Z330">
        <v>0</v>
      </c>
      <c r="AA330">
        <v>0</v>
      </c>
      <c r="AB330">
        <v>672</v>
      </c>
      <c r="AC330">
        <v>13</v>
      </c>
      <c r="AD330">
        <v>659</v>
      </c>
      <c r="AE330">
        <v>7</v>
      </c>
      <c r="AF330">
        <v>3</v>
      </c>
      <c r="AG330">
        <v>2</v>
      </c>
      <c r="AH330">
        <v>1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1</v>
      </c>
      <c r="AO330">
        <v>0</v>
      </c>
      <c r="AP330">
        <v>7</v>
      </c>
      <c r="AQ330">
        <v>6</v>
      </c>
      <c r="AR330">
        <v>6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6</v>
      </c>
      <c r="BC330">
        <v>68</v>
      </c>
      <c r="BD330">
        <v>32</v>
      </c>
      <c r="BE330">
        <v>14</v>
      </c>
      <c r="BF330">
        <v>0</v>
      </c>
      <c r="BG330">
        <v>4</v>
      </c>
      <c r="BH330">
        <v>1</v>
      </c>
      <c r="BI330">
        <v>2</v>
      </c>
      <c r="BJ330">
        <v>2</v>
      </c>
      <c r="BK330">
        <v>1</v>
      </c>
      <c r="BL330">
        <v>2</v>
      </c>
      <c r="BM330">
        <v>10</v>
      </c>
      <c r="BN330">
        <v>68</v>
      </c>
      <c r="BO330">
        <v>269</v>
      </c>
      <c r="BP330">
        <v>218</v>
      </c>
      <c r="BQ330">
        <v>10</v>
      </c>
      <c r="BR330">
        <v>5</v>
      </c>
      <c r="BS330">
        <v>0</v>
      </c>
      <c r="BT330">
        <v>2</v>
      </c>
      <c r="BU330">
        <v>7</v>
      </c>
      <c r="BV330">
        <v>2</v>
      </c>
      <c r="BW330">
        <v>24</v>
      </c>
      <c r="BX330">
        <v>0</v>
      </c>
      <c r="BY330">
        <v>1</v>
      </c>
      <c r="BZ330">
        <v>269</v>
      </c>
      <c r="CA330">
        <v>47</v>
      </c>
      <c r="CB330">
        <v>1</v>
      </c>
      <c r="CC330">
        <v>1</v>
      </c>
      <c r="CD330">
        <v>41</v>
      </c>
      <c r="CE330">
        <v>0</v>
      </c>
      <c r="CF330">
        <v>0</v>
      </c>
      <c r="CG330">
        <v>3</v>
      </c>
      <c r="CH330">
        <v>0</v>
      </c>
      <c r="CI330">
        <v>0</v>
      </c>
      <c r="CJ330">
        <v>0</v>
      </c>
      <c r="CK330">
        <v>1</v>
      </c>
      <c r="CL330">
        <v>47</v>
      </c>
      <c r="CM330">
        <v>9</v>
      </c>
      <c r="CN330">
        <v>3</v>
      </c>
      <c r="CO330">
        <v>6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9</v>
      </c>
      <c r="CY330">
        <v>31</v>
      </c>
      <c r="CZ330">
        <v>24</v>
      </c>
      <c r="DA330">
        <v>2</v>
      </c>
      <c r="DB330">
        <v>0</v>
      </c>
      <c r="DC330">
        <v>1</v>
      </c>
      <c r="DD330">
        <v>0</v>
      </c>
      <c r="DE330">
        <v>0</v>
      </c>
      <c r="DF330">
        <v>1</v>
      </c>
      <c r="DG330">
        <v>1</v>
      </c>
      <c r="DH330">
        <v>2</v>
      </c>
      <c r="DI330">
        <v>0</v>
      </c>
      <c r="DJ330">
        <v>31</v>
      </c>
      <c r="DK330">
        <v>202</v>
      </c>
      <c r="DL330">
        <v>98</v>
      </c>
      <c r="DM330">
        <v>33</v>
      </c>
      <c r="DN330">
        <v>1</v>
      </c>
      <c r="DO330">
        <v>3</v>
      </c>
      <c r="DP330">
        <v>57</v>
      </c>
      <c r="DQ330">
        <v>0</v>
      </c>
      <c r="DR330">
        <v>2</v>
      </c>
      <c r="DS330">
        <v>4</v>
      </c>
      <c r="DT330">
        <v>1</v>
      </c>
      <c r="DU330">
        <v>3</v>
      </c>
      <c r="DV330">
        <v>202</v>
      </c>
      <c r="DW330">
        <v>16</v>
      </c>
      <c r="DX330">
        <v>0</v>
      </c>
      <c r="DY330">
        <v>0</v>
      </c>
      <c r="DZ330">
        <v>0</v>
      </c>
      <c r="EA330">
        <v>2</v>
      </c>
      <c r="EB330">
        <v>2</v>
      </c>
      <c r="EC330">
        <v>10</v>
      </c>
      <c r="ED330">
        <v>0</v>
      </c>
      <c r="EE330">
        <v>0</v>
      </c>
      <c r="EF330">
        <v>0</v>
      </c>
      <c r="EG330">
        <v>2</v>
      </c>
      <c r="EH330">
        <v>16</v>
      </c>
      <c r="EI330">
        <v>1</v>
      </c>
      <c r="EJ330">
        <v>0</v>
      </c>
      <c r="EK330">
        <v>1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1</v>
      </c>
      <c r="ES330">
        <v>1</v>
      </c>
      <c r="ET330">
        <v>0</v>
      </c>
      <c r="EU330">
        <v>0</v>
      </c>
      <c r="EV330">
        <v>0</v>
      </c>
      <c r="EW330">
        <v>1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1</v>
      </c>
      <c r="FE330">
        <v>2</v>
      </c>
      <c r="FF330">
        <v>0</v>
      </c>
      <c r="FG330">
        <v>1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1</v>
      </c>
      <c r="FN330">
        <v>0</v>
      </c>
      <c r="FO330">
        <v>0</v>
      </c>
      <c r="FP330">
        <v>2</v>
      </c>
    </row>
    <row r="331" spans="1:172" ht="14.25">
      <c r="A331">
        <v>326</v>
      </c>
      <c r="B331" t="str">
        <f t="shared" si="59"/>
        <v>101601</v>
      </c>
      <c r="C331" t="str">
        <f t="shared" si="60"/>
        <v>m. Tomaszów Mazowiecki</v>
      </c>
      <c r="D331" t="str">
        <f t="shared" si="61"/>
        <v>tomaszowski</v>
      </c>
      <c r="E331" t="str">
        <f t="shared" si="62"/>
        <v>łódzkie</v>
      </c>
      <c r="F331">
        <v>17</v>
      </c>
      <c r="G331" t="str">
        <f>"Gimnazjum Nr 6, ul. Jałowcowa 8, 97-200 Tomaszów Mazowiecki"</f>
        <v>Gimnazjum Nr 6, ul. Jałowcowa 8, 97-200 Tomaszów Mazowiecki</v>
      </c>
      <c r="H331">
        <v>2338</v>
      </c>
      <c r="I331">
        <v>2338</v>
      </c>
      <c r="J331">
        <v>0</v>
      </c>
      <c r="K331">
        <v>1660</v>
      </c>
      <c r="L331">
        <v>1002</v>
      </c>
      <c r="M331">
        <v>658</v>
      </c>
      <c r="N331">
        <v>658</v>
      </c>
      <c r="O331">
        <v>0</v>
      </c>
      <c r="P331">
        <v>0</v>
      </c>
      <c r="Q331">
        <v>1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658</v>
      </c>
      <c r="Z331">
        <v>0</v>
      </c>
      <c r="AA331">
        <v>0</v>
      </c>
      <c r="AB331">
        <v>658</v>
      </c>
      <c r="AC331">
        <v>22</v>
      </c>
      <c r="AD331">
        <v>636</v>
      </c>
      <c r="AE331">
        <v>20</v>
      </c>
      <c r="AF331">
        <v>12</v>
      </c>
      <c r="AG331">
        <v>3</v>
      </c>
      <c r="AH331">
        <v>3</v>
      </c>
      <c r="AI331">
        <v>1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1</v>
      </c>
      <c r="AP331">
        <v>20</v>
      </c>
      <c r="AQ331">
        <v>13</v>
      </c>
      <c r="AR331">
        <v>12</v>
      </c>
      <c r="AS331">
        <v>1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13</v>
      </c>
      <c r="BC331">
        <v>45</v>
      </c>
      <c r="BD331">
        <v>23</v>
      </c>
      <c r="BE331">
        <v>3</v>
      </c>
      <c r="BF331">
        <v>1</v>
      </c>
      <c r="BG331">
        <v>4</v>
      </c>
      <c r="BH331">
        <v>1</v>
      </c>
      <c r="BI331">
        <v>2</v>
      </c>
      <c r="BJ331">
        <v>2</v>
      </c>
      <c r="BK331">
        <v>0</v>
      </c>
      <c r="BL331">
        <v>3</v>
      </c>
      <c r="BM331">
        <v>6</v>
      </c>
      <c r="BN331">
        <v>45</v>
      </c>
      <c r="BO331">
        <v>259</v>
      </c>
      <c r="BP331">
        <v>210</v>
      </c>
      <c r="BQ331">
        <v>8</v>
      </c>
      <c r="BR331">
        <v>5</v>
      </c>
      <c r="BS331">
        <v>1</v>
      </c>
      <c r="BT331">
        <v>1</v>
      </c>
      <c r="BU331">
        <v>8</v>
      </c>
      <c r="BV331">
        <v>1</v>
      </c>
      <c r="BW331">
        <v>18</v>
      </c>
      <c r="BX331">
        <v>3</v>
      </c>
      <c r="BY331">
        <v>4</v>
      </c>
      <c r="BZ331">
        <v>259</v>
      </c>
      <c r="CA331">
        <v>34</v>
      </c>
      <c r="CB331">
        <v>5</v>
      </c>
      <c r="CC331">
        <v>1</v>
      </c>
      <c r="CD331">
        <v>26</v>
      </c>
      <c r="CE331">
        <v>0</v>
      </c>
      <c r="CF331">
        <v>0</v>
      </c>
      <c r="CG331">
        <v>0</v>
      </c>
      <c r="CH331">
        <v>0</v>
      </c>
      <c r="CI331">
        <v>1</v>
      </c>
      <c r="CJ331">
        <v>0</v>
      </c>
      <c r="CK331">
        <v>1</v>
      </c>
      <c r="CL331">
        <v>34</v>
      </c>
      <c r="CM331">
        <v>11</v>
      </c>
      <c r="CN331">
        <v>2</v>
      </c>
      <c r="CO331">
        <v>6</v>
      </c>
      <c r="CP331">
        <v>1</v>
      </c>
      <c r="CQ331">
        <v>2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11</v>
      </c>
      <c r="CY331">
        <v>33</v>
      </c>
      <c r="CZ331">
        <v>14</v>
      </c>
      <c r="DA331">
        <v>6</v>
      </c>
      <c r="DB331">
        <v>1</v>
      </c>
      <c r="DC331">
        <v>2</v>
      </c>
      <c r="DD331">
        <v>1</v>
      </c>
      <c r="DE331">
        <v>1</v>
      </c>
      <c r="DF331">
        <v>3</v>
      </c>
      <c r="DG331">
        <v>3</v>
      </c>
      <c r="DH331">
        <v>1</v>
      </c>
      <c r="DI331">
        <v>1</v>
      </c>
      <c r="DJ331">
        <v>33</v>
      </c>
      <c r="DK331">
        <v>206</v>
      </c>
      <c r="DL331">
        <v>102</v>
      </c>
      <c r="DM331">
        <v>28</v>
      </c>
      <c r="DN331">
        <v>2</v>
      </c>
      <c r="DO331">
        <v>3</v>
      </c>
      <c r="DP331">
        <v>61</v>
      </c>
      <c r="DQ331">
        <v>1</v>
      </c>
      <c r="DR331">
        <v>0</v>
      </c>
      <c r="DS331">
        <v>2</v>
      </c>
      <c r="DT331">
        <v>3</v>
      </c>
      <c r="DU331">
        <v>4</v>
      </c>
      <c r="DV331">
        <v>206</v>
      </c>
      <c r="DW331">
        <v>12</v>
      </c>
      <c r="DX331">
        <v>0</v>
      </c>
      <c r="DY331">
        <v>0</v>
      </c>
      <c r="DZ331">
        <v>0</v>
      </c>
      <c r="EA331">
        <v>1</v>
      </c>
      <c r="EB331">
        <v>1</v>
      </c>
      <c r="EC331">
        <v>3</v>
      </c>
      <c r="ED331">
        <v>4</v>
      </c>
      <c r="EE331">
        <v>0</v>
      </c>
      <c r="EF331">
        <v>1</v>
      </c>
      <c r="EG331">
        <v>2</v>
      </c>
      <c r="EH331">
        <v>12</v>
      </c>
      <c r="EI331">
        <v>2</v>
      </c>
      <c r="EJ331">
        <v>0</v>
      </c>
      <c r="EK331">
        <v>2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2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1</v>
      </c>
      <c r="FF331">
        <v>0</v>
      </c>
      <c r="FG331">
        <v>0</v>
      </c>
      <c r="FH331">
        <v>0</v>
      </c>
      <c r="FI331">
        <v>1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1</v>
      </c>
    </row>
    <row r="332" spans="1:172" ht="14.25">
      <c r="A332">
        <v>327</v>
      </c>
      <c r="B332" t="str">
        <f t="shared" si="59"/>
        <v>101601</v>
      </c>
      <c r="C332" t="str">
        <f t="shared" si="60"/>
        <v>m. Tomaszów Mazowiecki</v>
      </c>
      <c r="D332" t="str">
        <f t="shared" si="61"/>
        <v>tomaszowski</v>
      </c>
      <c r="E332" t="str">
        <f t="shared" si="62"/>
        <v>łódzkie</v>
      </c>
      <c r="F332">
        <v>18</v>
      </c>
      <c r="G332" t="str">
        <f>"Szkoła Podstawowa Nr 14, ul. Słowackiego 32/42, 97-200 Tomaszów Mazowiecki"</f>
        <v>Szkoła Podstawowa Nr 14, ul. Słowackiego 32/42, 97-200 Tomaszów Mazowiecki</v>
      </c>
      <c r="H332">
        <v>2432</v>
      </c>
      <c r="I332">
        <v>2432</v>
      </c>
      <c r="J332">
        <v>0</v>
      </c>
      <c r="K332">
        <v>1711</v>
      </c>
      <c r="L332">
        <v>1157</v>
      </c>
      <c r="M332">
        <v>554</v>
      </c>
      <c r="N332">
        <v>554</v>
      </c>
      <c r="O332">
        <v>0</v>
      </c>
      <c r="P332">
        <v>0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553</v>
      </c>
      <c r="Z332">
        <v>0</v>
      </c>
      <c r="AA332">
        <v>0</v>
      </c>
      <c r="AB332">
        <v>553</v>
      </c>
      <c r="AC332">
        <v>17</v>
      </c>
      <c r="AD332">
        <v>536</v>
      </c>
      <c r="AE332">
        <v>9</v>
      </c>
      <c r="AF332">
        <v>2</v>
      </c>
      <c r="AG332">
        <v>3</v>
      </c>
      <c r="AH332">
        <v>0</v>
      </c>
      <c r="AI332">
        <v>0</v>
      </c>
      <c r="AJ332">
        <v>1</v>
      </c>
      <c r="AK332">
        <v>0</v>
      </c>
      <c r="AL332">
        <v>0</v>
      </c>
      <c r="AM332">
        <v>0</v>
      </c>
      <c r="AN332">
        <v>2</v>
      </c>
      <c r="AO332">
        <v>1</v>
      </c>
      <c r="AP332">
        <v>9</v>
      </c>
      <c r="AQ332">
        <v>1</v>
      </c>
      <c r="AR332">
        <v>1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1</v>
      </c>
      <c r="BC332">
        <v>32</v>
      </c>
      <c r="BD332">
        <v>20</v>
      </c>
      <c r="BE332">
        <v>1</v>
      </c>
      <c r="BF332">
        <v>1</v>
      </c>
      <c r="BG332">
        <v>3</v>
      </c>
      <c r="BH332">
        <v>0</v>
      </c>
      <c r="BI332">
        <v>0</v>
      </c>
      <c r="BJ332">
        <v>1</v>
      </c>
      <c r="BK332">
        <v>1</v>
      </c>
      <c r="BL332">
        <v>1</v>
      </c>
      <c r="BM332">
        <v>4</v>
      </c>
      <c r="BN332">
        <v>32</v>
      </c>
      <c r="BO332">
        <v>240</v>
      </c>
      <c r="BP332">
        <v>198</v>
      </c>
      <c r="BQ332">
        <v>2</v>
      </c>
      <c r="BR332">
        <v>8</v>
      </c>
      <c r="BS332">
        <v>2</v>
      </c>
      <c r="BT332">
        <v>0</v>
      </c>
      <c r="BU332">
        <v>7</v>
      </c>
      <c r="BV332">
        <v>1</v>
      </c>
      <c r="BW332">
        <v>19</v>
      </c>
      <c r="BX332">
        <v>3</v>
      </c>
      <c r="BY332">
        <v>0</v>
      </c>
      <c r="BZ332">
        <v>240</v>
      </c>
      <c r="CA332">
        <v>39</v>
      </c>
      <c r="CB332">
        <v>4</v>
      </c>
      <c r="CC332">
        <v>1</v>
      </c>
      <c r="CD332">
        <v>30</v>
      </c>
      <c r="CE332">
        <v>1</v>
      </c>
      <c r="CF332">
        <v>0</v>
      </c>
      <c r="CG332">
        <v>0</v>
      </c>
      <c r="CH332">
        <v>0</v>
      </c>
      <c r="CI332">
        <v>1</v>
      </c>
      <c r="CJ332">
        <v>2</v>
      </c>
      <c r="CK332">
        <v>0</v>
      </c>
      <c r="CL332">
        <v>39</v>
      </c>
      <c r="CM332">
        <v>10</v>
      </c>
      <c r="CN332">
        <v>4</v>
      </c>
      <c r="CO332">
        <v>5</v>
      </c>
      <c r="CP332">
        <v>1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10</v>
      </c>
      <c r="CY332">
        <v>29</v>
      </c>
      <c r="CZ332">
        <v>18</v>
      </c>
      <c r="DA332">
        <v>3</v>
      </c>
      <c r="DB332">
        <v>1</v>
      </c>
      <c r="DC332">
        <v>1</v>
      </c>
      <c r="DD332">
        <v>0</v>
      </c>
      <c r="DE332">
        <v>2</v>
      </c>
      <c r="DF332">
        <v>1</v>
      </c>
      <c r="DG332">
        <v>2</v>
      </c>
      <c r="DH332">
        <v>0</v>
      </c>
      <c r="DI332">
        <v>1</v>
      </c>
      <c r="DJ332">
        <v>29</v>
      </c>
      <c r="DK332">
        <v>162</v>
      </c>
      <c r="DL332">
        <v>73</v>
      </c>
      <c r="DM332">
        <v>23</v>
      </c>
      <c r="DN332">
        <v>1</v>
      </c>
      <c r="DO332">
        <v>2</v>
      </c>
      <c r="DP332">
        <v>57</v>
      </c>
      <c r="DQ332">
        <v>0</v>
      </c>
      <c r="DR332">
        <v>0</v>
      </c>
      <c r="DS332">
        <v>3</v>
      </c>
      <c r="DT332">
        <v>2</v>
      </c>
      <c r="DU332">
        <v>1</v>
      </c>
      <c r="DV332">
        <v>162</v>
      </c>
      <c r="DW332">
        <v>10</v>
      </c>
      <c r="DX332">
        <v>1</v>
      </c>
      <c r="DY332">
        <v>1</v>
      </c>
      <c r="DZ332">
        <v>0</v>
      </c>
      <c r="EA332">
        <v>0</v>
      </c>
      <c r="EB332">
        <v>0</v>
      </c>
      <c r="EC332">
        <v>6</v>
      </c>
      <c r="ED332">
        <v>1</v>
      </c>
      <c r="EE332">
        <v>0</v>
      </c>
      <c r="EF332">
        <v>0</v>
      </c>
      <c r="EG332">
        <v>1</v>
      </c>
      <c r="EH332">
        <v>10</v>
      </c>
      <c r="EI332">
        <v>1</v>
      </c>
      <c r="EJ332">
        <v>0</v>
      </c>
      <c r="EK332">
        <v>1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1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3</v>
      </c>
      <c r="FF332">
        <v>1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2</v>
      </c>
      <c r="FN332">
        <v>0</v>
      </c>
      <c r="FO332">
        <v>0</v>
      </c>
      <c r="FP332">
        <v>3</v>
      </c>
    </row>
    <row r="333" spans="1:172" ht="14.25">
      <c r="A333">
        <v>328</v>
      </c>
      <c r="B333" t="str">
        <f t="shared" si="59"/>
        <v>101601</v>
      </c>
      <c r="C333" t="str">
        <f t="shared" si="60"/>
        <v>m. Tomaszów Mazowiecki</v>
      </c>
      <c r="D333" t="str">
        <f t="shared" si="61"/>
        <v>tomaszowski</v>
      </c>
      <c r="E333" t="str">
        <f t="shared" si="62"/>
        <v>łódzkie</v>
      </c>
      <c r="F333">
        <v>19</v>
      </c>
      <c r="G333" t="str">
        <f>"Szkoła Podstawowa Nr 1, ul. Leona Witolda Maya 11/13, 97-200 Tomaszów Mazowiecki"</f>
        <v>Szkoła Podstawowa Nr 1, ul. Leona Witolda Maya 11/13, 97-200 Tomaszów Mazowiecki</v>
      </c>
      <c r="H333">
        <v>2128</v>
      </c>
      <c r="I333">
        <v>2128</v>
      </c>
      <c r="J333">
        <v>0</v>
      </c>
      <c r="K333">
        <v>1500</v>
      </c>
      <c r="L333">
        <v>878</v>
      </c>
      <c r="M333">
        <v>622</v>
      </c>
      <c r="N333">
        <v>622</v>
      </c>
      <c r="O333">
        <v>0</v>
      </c>
      <c r="P333">
        <v>0</v>
      </c>
      <c r="Q333">
        <v>7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622</v>
      </c>
      <c r="Z333">
        <v>0</v>
      </c>
      <c r="AA333">
        <v>0</v>
      </c>
      <c r="AB333">
        <v>622</v>
      </c>
      <c r="AC333">
        <v>20</v>
      </c>
      <c r="AD333">
        <v>602</v>
      </c>
      <c r="AE333">
        <v>3</v>
      </c>
      <c r="AF333">
        <v>0</v>
      </c>
      <c r="AG333">
        <v>0</v>
      </c>
      <c r="AH333">
        <v>2</v>
      </c>
      <c r="AI333">
        <v>0</v>
      </c>
      <c r="AJ333">
        <v>0</v>
      </c>
      <c r="AK333">
        <v>1</v>
      </c>
      <c r="AL333">
        <v>0</v>
      </c>
      <c r="AM333">
        <v>0</v>
      </c>
      <c r="AN333">
        <v>0</v>
      </c>
      <c r="AO333">
        <v>0</v>
      </c>
      <c r="AP333">
        <v>3</v>
      </c>
      <c r="AQ333">
        <v>4</v>
      </c>
      <c r="AR333">
        <v>3</v>
      </c>
      <c r="AS333">
        <v>0</v>
      </c>
      <c r="AT333">
        <v>0</v>
      </c>
      <c r="AU333">
        <v>0</v>
      </c>
      <c r="AV333">
        <v>1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4</v>
      </c>
      <c r="BC333">
        <v>45</v>
      </c>
      <c r="BD333">
        <v>27</v>
      </c>
      <c r="BE333">
        <v>2</v>
      </c>
      <c r="BF333">
        <v>3</v>
      </c>
      <c r="BG333">
        <v>4</v>
      </c>
      <c r="BH333">
        <v>1</v>
      </c>
      <c r="BI333">
        <v>0</v>
      </c>
      <c r="BJ333">
        <v>0</v>
      </c>
      <c r="BK333">
        <v>0</v>
      </c>
      <c r="BL333">
        <v>1</v>
      </c>
      <c r="BM333">
        <v>7</v>
      </c>
      <c r="BN333">
        <v>45</v>
      </c>
      <c r="BO333">
        <v>260</v>
      </c>
      <c r="BP333">
        <v>224</v>
      </c>
      <c r="BQ333">
        <v>4</v>
      </c>
      <c r="BR333">
        <v>5</v>
      </c>
      <c r="BS333">
        <v>1</v>
      </c>
      <c r="BT333">
        <v>0</v>
      </c>
      <c r="BU333">
        <v>4</v>
      </c>
      <c r="BV333">
        <v>0</v>
      </c>
      <c r="BW333">
        <v>22</v>
      </c>
      <c r="BX333">
        <v>0</v>
      </c>
      <c r="BY333">
        <v>0</v>
      </c>
      <c r="BZ333">
        <v>260</v>
      </c>
      <c r="CA333">
        <v>25</v>
      </c>
      <c r="CB333">
        <v>3</v>
      </c>
      <c r="CC333">
        <v>1</v>
      </c>
      <c r="CD333">
        <v>20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1</v>
      </c>
      <c r="CK333">
        <v>0</v>
      </c>
      <c r="CL333">
        <v>25</v>
      </c>
      <c r="CM333">
        <v>12</v>
      </c>
      <c r="CN333">
        <v>8</v>
      </c>
      <c r="CO333">
        <v>2</v>
      </c>
      <c r="CP333">
        <v>0</v>
      </c>
      <c r="CQ333">
        <v>0</v>
      </c>
      <c r="CR333">
        <v>1</v>
      </c>
      <c r="CS333">
        <v>0</v>
      </c>
      <c r="CT333">
        <v>0</v>
      </c>
      <c r="CU333">
        <v>0</v>
      </c>
      <c r="CV333">
        <v>1</v>
      </c>
      <c r="CW333">
        <v>0</v>
      </c>
      <c r="CX333">
        <v>12</v>
      </c>
      <c r="CY333">
        <v>29</v>
      </c>
      <c r="CZ333">
        <v>13</v>
      </c>
      <c r="DA333">
        <v>3</v>
      </c>
      <c r="DB333">
        <v>2</v>
      </c>
      <c r="DC333">
        <v>0</v>
      </c>
      <c r="DD333">
        <v>1</v>
      </c>
      <c r="DE333">
        <v>0</v>
      </c>
      <c r="DF333">
        <v>2</v>
      </c>
      <c r="DG333">
        <v>2</v>
      </c>
      <c r="DH333">
        <v>2</v>
      </c>
      <c r="DI333">
        <v>4</v>
      </c>
      <c r="DJ333">
        <v>29</v>
      </c>
      <c r="DK333">
        <v>202</v>
      </c>
      <c r="DL333">
        <v>107</v>
      </c>
      <c r="DM333">
        <v>16</v>
      </c>
      <c r="DN333">
        <v>1</v>
      </c>
      <c r="DO333">
        <v>1</v>
      </c>
      <c r="DP333">
        <v>61</v>
      </c>
      <c r="DQ333">
        <v>3</v>
      </c>
      <c r="DR333">
        <v>1</v>
      </c>
      <c r="DS333">
        <v>3</v>
      </c>
      <c r="DT333">
        <v>2</v>
      </c>
      <c r="DU333">
        <v>7</v>
      </c>
      <c r="DV333">
        <v>202</v>
      </c>
      <c r="DW333">
        <v>21</v>
      </c>
      <c r="DX333">
        <v>2</v>
      </c>
      <c r="DY333">
        <v>2</v>
      </c>
      <c r="DZ333">
        <v>0</v>
      </c>
      <c r="EA333">
        <v>0</v>
      </c>
      <c r="EB333">
        <v>1</v>
      </c>
      <c r="EC333">
        <v>15</v>
      </c>
      <c r="ED333">
        <v>0</v>
      </c>
      <c r="EE333">
        <v>0</v>
      </c>
      <c r="EF333">
        <v>0</v>
      </c>
      <c r="EG333">
        <v>1</v>
      </c>
      <c r="EH333">
        <v>21</v>
      </c>
      <c r="EI333">
        <v>1</v>
      </c>
      <c r="EJ333">
        <v>0</v>
      </c>
      <c r="EK333">
        <v>1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1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</row>
    <row r="334" spans="1:172" ht="14.25">
      <c r="A334">
        <v>329</v>
      </c>
      <c r="B334" t="str">
        <f t="shared" si="59"/>
        <v>101601</v>
      </c>
      <c r="C334" t="str">
        <f t="shared" si="60"/>
        <v>m. Tomaszów Mazowiecki</v>
      </c>
      <c r="D334" t="str">
        <f t="shared" si="61"/>
        <v>tomaszowski</v>
      </c>
      <c r="E334" t="str">
        <f t="shared" si="62"/>
        <v>łódzkie</v>
      </c>
      <c r="F334">
        <v>20</v>
      </c>
      <c r="G334" t="str">
        <f>"Przedszkole Nr 20, ul. Gen. Władysława Sikorskiego 6A, 97-200 Tomaszów Mazowiecki"</f>
        <v>Przedszkole Nr 20, ul. Gen. Władysława Sikorskiego 6A, 97-200 Tomaszów Mazowiecki</v>
      </c>
      <c r="H334">
        <v>2376</v>
      </c>
      <c r="I334">
        <v>2376</v>
      </c>
      <c r="J334">
        <v>0</v>
      </c>
      <c r="K334">
        <v>1660</v>
      </c>
      <c r="L334">
        <v>1000</v>
      </c>
      <c r="M334">
        <v>660</v>
      </c>
      <c r="N334">
        <v>660</v>
      </c>
      <c r="O334">
        <v>0</v>
      </c>
      <c r="P334">
        <v>1</v>
      </c>
      <c r="Q334">
        <v>2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660</v>
      </c>
      <c r="Z334">
        <v>0</v>
      </c>
      <c r="AA334">
        <v>0</v>
      </c>
      <c r="AB334">
        <v>660</v>
      </c>
      <c r="AC334">
        <v>12</v>
      </c>
      <c r="AD334">
        <v>648</v>
      </c>
      <c r="AE334">
        <v>8</v>
      </c>
      <c r="AF334">
        <v>5</v>
      </c>
      <c r="AG334">
        <v>1</v>
      </c>
      <c r="AH334">
        <v>0</v>
      </c>
      <c r="AI334">
        <v>1</v>
      </c>
      <c r="AJ334">
        <v>0</v>
      </c>
      <c r="AK334">
        <v>0</v>
      </c>
      <c r="AL334">
        <v>0</v>
      </c>
      <c r="AM334">
        <v>0</v>
      </c>
      <c r="AN334">
        <v>1</v>
      </c>
      <c r="AO334">
        <v>0</v>
      </c>
      <c r="AP334">
        <v>8</v>
      </c>
      <c r="AQ334">
        <v>6</v>
      </c>
      <c r="AR334">
        <v>3</v>
      </c>
      <c r="AS334">
        <v>2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6</v>
      </c>
      <c r="BC334">
        <v>36</v>
      </c>
      <c r="BD334">
        <v>16</v>
      </c>
      <c r="BE334">
        <v>2</v>
      </c>
      <c r="BF334">
        <v>0</v>
      </c>
      <c r="BG334">
        <v>5</v>
      </c>
      <c r="BH334">
        <v>2</v>
      </c>
      <c r="BI334">
        <v>1</v>
      </c>
      <c r="BJ334">
        <v>0</v>
      </c>
      <c r="BK334">
        <v>0</v>
      </c>
      <c r="BL334">
        <v>3</v>
      </c>
      <c r="BM334">
        <v>7</v>
      </c>
      <c r="BN334">
        <v>36</v>
      </c>
      <c r="BO334">
        <v>264</v>
      </c>
      <c r="BP334">
        <v>219</v>
      </c>
      <c r="BQ334">
        <v>7</v>
      </c>
      <c r="BR334">
        <v>6</v>
      </c>
      <c r="BS334">
        <v>3</v>
      </c>
      <c r="BT334">
        <v>0</v>
      </c>
      <c r="BU334">
        <v>3</v>
      </c>
      <c r="BV334">
        <v>0</v>
      </c>
      <c r="BW334">
        <v>21</v>
      </c>
      <c r="BX334">
        <v>4</v>
      </c>
      <c r="BY334">
        <v>1</v>
      </c>
      <c r="BZ334">
        <v>264</v>
      </c>
      <c r="CA334">
        <v>36</v>
      </c>
      <c r="CB334">
        <v>5</v>
      </c>
      <c r="CC334">
        <v>1</v>
      </c>
      <c r="CD334">
        <v>28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2</v>
      </c>
      <c r="CL334">
        <v>36</v>
      </c>
      <c r="CM334">
        <v>16</v>
      </c>
      <c r="CN334">
        <v>13</v>
      </c>
      <c r="CO334">
        <v>1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2</v>
      </c>
      <c r="CX334">
        <v>16</v>
      </c>
      <c r="CY334">
        <v>30</v>
      </c>
      <c r="CZ334">
        <v>14</v>
      </c>
      <c r="DA334">
        <v>6</v>
      </c>
      <c r="DB334">
        <v>0</v>
      </c>
      <c r="DC334">
        <v>0</v>
      </c>
      <c r="DD334">
        <v>1</v>
      </c>
      <c r="DE334">
        <v>0</v>
      </c>
      <c r="DF334">
        <v>1</v>
      </c>
      <c r="DG334">
        <v>3</v>
      </c>
      <c r="DH334">
        <v>3</v>
      </c>
      <c r="DI334">
        <v>2</v>
      </c>
      <c r="DJ334">
        <v>30</v>
      </c>
      <c r="DK334">
        <v>218</v>
      </c>
      <c r="DL334">
        <v>112</v>
      </c>
      <c r="DM334">
        <v>43</v>
      </c>
      <c r="DN334">
        <v>0</v>
      </c>
      <c r="DO334">
        <v>3</v>
      </c>
      <c r="DP334">
        <v>53</v>
      </c>
      <c r="DQ334">
        <v>1</v>
      </c>
      <c r="DR334">
        <v>4</v>
      </c>
      <c r="DS334">
        <v>0</v>
      </c>
      <c r="DT334">
        <v>1</v>
      </c>
      <c r="DU334">
        <v>1</v>
      </c>
      <c r="DV334">
        <v>218</v>
      </c>
      <c r="DW334">
        <v>26</v>
      </c>
      <c r="DX334">
        <v>1</v>
      </c>
      <c r="DY334">
        <v>4</v>
      </c>
      <c r="DZ334">
        <v>0</v>
      </c>
      <c r="EA334">
        <v>1</v>
      </c>
      <c r="EB334">
        <v>1</v>
      </c>
      <c r="EC334">
        <v>11</v>
      </c>
      <c r="ED334">
        <v>3</v>
      </c>
      <c r="EE334">
        <v>2</v>
      </c>
      <c r="EF334">
        <v>0</v>
      </c>
      <c r="EG334">
        <v>3</v>
      </c>
      <c r="EH334">
        <v>26</v>
      </c>
      <c r="EI334">
        <v>7</v>
      </c>
      <c r="EJ334">
        <v>1</v>
      </c>
      <c r="EK334">
        <v>6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7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1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1</v>
      </c>
      <c r="FL334">
        <v>0</v>
      </c>
      <c r="FM334">
        <v>0</v>
      </c>
      <c r="FN334">
        <v>0</v>
      </c>
      <c r="FO334">
        <v>0</v>
      </c>
      <c r="FP334">
        <v>1</v>
      </c>
    </row>
    <row r="335" spans="1:172" ht="14.25">
      <c r="A335">
        <v>330</v>
      </c>
      <c r="B335" t="str">
        <f t="shared" si="59"/>
        <v>101601</v>
      </c>
      <c r="C335" t="str">
        <f t="shared" si="60"/>
        <v>m. Tomaszów Mazowiecki</v>
      </c>
      <c r="D335" t="str">
        <f t="shared" si="61"/>
        <v>tomaszowski</v>
      </c>
      <c r="E335" t="str">
        <f t="shared" si="62"/>
        <v>łódzkie</v>
      </c>
      <c r="F335">
        <v>21</v>
      </c>
      <c r="G335" t="str">
        <f>"Ośrodek Sportu i Rekreacji - Kręgielnia, ul. Strzelecka 24/26, 97-200 Tomaszów Mazowiecki"</f>
        <v>Ośrodek Sportu i Rekreacji - Kręgielnia, ul. Strzelecka 24/26, 97-200 Tomaszów Mazowiecki</v>
      </c>
      <c r="H335">
        <v>2276</v>
      </c>
      <c r="I335">
        <v>2276</v>
      </c>
      <c r="J335">
        <v>0</v>
      </c>
      <c r="K335">
        <v>1590</v>
      </c>
      <c r="L335">
        <v>925</v>
      </c>
      <c r="M335">
        <v>665</v>
      </c>
      <c r="N335">
        <v>665</v>
      </c>
      <c r="O335">
        <v>0</v>
      </c>
      <c r="P335">
        <v>0</v>
      </c>
      <c r="Q335">
        <v>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665</v>
      </c>
      <c r="Z335">
        <v>0</v>
      </c>
      <c r="AA335">
        <v>0</v>
      </c>
      <c r="AB335">
        <v>665</v>
      </c>
      <c r="AC335">
        <v>16</v>
      </c>
      <c r="AD335">
        <v>649</v>
      </c>
      <c r="AE335">
        <v>12</v>
      </c>
      <c r="AF335">
        <v>4</v>
      </c>
      <c r="AG335">
        <v>1</v>
      </c>
      <c r="AH335">
        <v>1</v>
      </c>
      <c r="AI335">
        <v>0</v>
      </c>
      <c r="AJ335">
        <v>0</v>
      </c>
      <c r="AK335">
        <v>2</v>
      </c>
      <c r="AL335">
        <v>0</v>
      </c>
      <c r="AM335">
        <v>0</v>
      </c>
      <c r="AN335">
        <v>0</v>
      </c>
      <c r="AO335">
        <v>4</v>
      </c>
      <c r="AP335">
        <v>12</v>
      </c>
      <c r="AQ335">
        <v>11</v>
      </c>
      <c r="AR335">
        <v>9</v>
      </c>
      <c r="AS335">
        <v>0</v>
      </c>
      <c r="AT335">
        <v>0</v>
      </c>
      <c r="AU335">
        <v>0</v>
      </c>
      <c r="AV335">
        <v>0</v>
      </c>
      <c r="AW335">
        <v>1</v>
      </c>
      <c r="AX335">
        <v>0</v>
      </c>
      <c r="AY335">
        <v>0</v>
      </c>
      <c r="AZ335">
        <v>0</v>
      </c>
      <c r="BA335">
        <v>1</v>
      </c>
      <c r="BB335">
        <v>11</v>
      </c>
      <c r="BC335">
        <v>70</v>
      </c>
      <c r="BD335">
        <v>44</v>
      </c>
      <c r="BE335">
        <v>10</v>
      </c>
      <c r="BF335">
        <v>1</v>
      </c>
      <c r="BG335">
        <v>2</v>
      </c>
      <c r="BH335">
        <v>1</v>
      </c>
      <c r="BI335">
        <v>2</v>
      </c>
      <c r="BJ335">
        <v>2</v>
      </c>
      <c r="BK335">
        <v>0</v>
      </c>
      <c r="BL335">
        <v>1</v>
      </c>
      <c r="BM335">
        <v>7</v>
      </c>
      <c r="BN335">
        <v>70</v>
      </c>
      <c r="BO335">
        <v>230</v>
      </c>
      <c r="BP335">
        <v>185</v>
      </c>
      <c r="BQ335">
        <v>3</v>
      </c>
      <c r="BR335">
        <v>5</v>
      </c>
      <c r="BS335">
        <v>4</v>
      </c>
      <c r="BT335">
        <v>0</v>
      </c>
      <c r="BU335">
        <v>5</v>
      </c>
      <c r="BV335">
        <v>0</v>
      </c>
      <c r="BW335">
        <v>26</v>
      </c>
      <c r="BX335">
        <v>0</v>
      </c>
      <c r="BY335">
        <v>2</v>
      </c>
      <c r="BZ335">
        <v>230</v>
      </c>
      <c r="CA335">
        <v>38</v>
      </c>
      <c r="CB335">
        <v>2</v>
      </c>
      <c r="CC335">
        <v>1</v>
      </c>
      <c r="CD335">
        <v>33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1</v>
      </c>
      <c r="CK335">
        <v>1</v>
      </c>
      <c r="CL335">
        <v>38</v>
      </c>
      <c r="CM335">
        <v>9</v>
      </c>
      <c r="CN335">
        <v>5</v>
      </c>
      <c r="CO335">
        <v>4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9</v>
      </c>
      <c r="CY335">
        <v>18</v>
      </c>
      <c r="CZ335">
        <v>11</v>
      </c>
      <c r="DA335">
        <v>2</v>
      </c>
      <c r="DB335">
        <v>1</v>
      </c>
      <c r="DC335">
        <v>0</v>
      </c>
      <c r="DD335">
        <v>2</v>
      </c>
      <c r="DE335">
        <v>2</v>
      </c>
      <c r="DF335">
        <v>0</v>
      </c>
      <c r="DG335">
        <v>0</v>
      </c>
      <c r="DH335">
        <v>0</v>
      </c>
      <c r="DI335">
        <v>0</v>
      </c>
      <c r="DJ335">
        <v>18</v>
      </c>
      <c r="DK335">
        <v>238</v>
      </c>
      <c r="DL335">
        <v>148</v>
      </c>
      <c r="DM335">
        <v>15</v>
      </c>
      <c r="DN335">
        <v>2</v>
      </c>
      <c r="DO335">
        <v>2</v>
      </c>
      <c r="DP335">
        <v>59</v>
      </c>
      <c r="DQ335">
        <v>1</v>
      </c>
      <c r="DR335">
        <v>3</v>
      </c>
      <c r="DS335">
        <v>1</v>
      </c>
      <c r="DT335">
        <v>0</v>
      </c>
      <c r="DU335">
        <v>7</v>
      </c>
      <c r="DV335">
        <v>238</v>
      </c>
      <c r="DW335">
        <v>20</v>
      </c>
      <c r="DX335">
        <v>1</v>
      </c>
      <c r="DY335">
        <v>7</v>
      </c>
      <c r="DZ335">
        <v>0</v>
      </c>
      <c r="EA335">
        <v>3</v>
      </c>
      <c r="EB335">
        <v>0</v>
      </c>
      <c r="EC335">
        <v>8</v>
      </c>
      <c r="ED335">
        <v>0</v>
      </c>
      <c r="EE335">
        <v>0</v>
      </c>
      <c r="EF335">
        <v>0</v>
      </c>
      <c r="EG335">
        <v>1</v>
      </c>
      <c r="EH335">
        <v>20</v>
      </c>
      <c r="EI335">
        <v>2</v>
      </c>
      <c r="EJ335">
        <v>1</v>
      </c>
      <c r="EK335">
        <v>0</v>
      </c>
      <c r="EL335">
        <v>1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2</v>
      </c>
      <c r="ES335">
        <v>1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1</v>
      </c>
      <c r="EZ335">
        <v>0</v>
      </c>
      <c r="FA335">
        <v>0</v>
      </c>
      <c r="FB335">
        <v>0</v>
      </c>
      <c r="FC335">
        <v>0</v>
      </c>
      <c r="FD335">
        <v>1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</row>
    <row r="336" spans="1:172" ht="14.25">
      <c r="A336">
        <v>331</v>
      </c>
      <c r="B336" t="str">
        <f t="shared" si="59"/>
        <v>101601</v>
      </c>
      <c r="C336" t="str">
        <f t="shared" si="60"/>
        <v>m. Tomaszów Mazowiecki</v>
      </c>
      <c r="D336" t="str">
        <f t="shared" si="61"/>
        <v>tomaszowski</v>
      </c>
      <c r="E336" t="str">
        <f t="shared" si="62"/>
        <v>łódzkie</v>
      </c>
      <c r="F336">
        <v>22</v>
      </c>
      <c r="G336" t="str">
        <f>"Szkoła Podstawowa Nr 7, ul. Ludwikowska 113/115, 97-200 Tomaszów Mazowiecki"</f>
        <v>Szkoła Podstawowa Nr 7, ul. Ludwikowska 113/115, 97-200 Tomaszów Mazowiecki</v>
      </c>
      <c r="H336">
        <v>2237</v>
      </c>
      <c r="I336">
        <v>2237</v>
      </c>
      <c r="J336">
        <v>0</v>
      </c>
      <c r="K336">
        <v>1570</v>
      </c>
      <c r="L336">
        <v>1073</v>
      </c>
      <c r="M336">
        <v>497</v>
      </c>
      <c r="N336">
        <v>497</v>
      </c>
      <c r="O336">
        <v>0</v>
      </c>
      <c r="P336">
        <v>0</v>
      </c>
      <c r="Q336">
        <v>1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497</v>
      </c>
      <c r="Z336">
        <v>0</v>
      </c>
      <c r="AA336">
        <v>0</v>
      </c>
      <c r="AB336">
        <v>497</v>
      </c>
      <c r="AC336">
        <v>17</v>
      </c>
      <c r="AD336">
        <v>480</v>
      </c>
      <c r="AE336">
        <v>5</v>
      </c>
      <c r="AF336">
        <v>4</v>
      </c>
      <c r="AG336">
        <v>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5</v>
      </c>
      <c r="AQ336">
        <v>3</v>
      </c>
      <c r="AR336">
        <v>3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3</v>
      </c>
      <c r="BC336">
        <v>25</v>
      </c>
      <c r="BD336">
        <v>15</v>
      </c>
      <c r="BE336">
        <v>1</v>
      </c>
      <c r="BF336">
        <v>2</v>
      </c>
      <c r="BG336">
        <v>0</v>
      </c>
      <c r="BH336">
        <v>0</v>
      </c>
      <c r="BI336">
        <v>0</v>
      </c>
      <c r="BJ336">
        <v>1</v>
      </c>
      <c r="BK336">
        <v>0</v>
      </c>
      <c r="BL336">
        <v>1</v>
      </c>
      <c r="BM336">
        <v>5</v>
      </c>
      <c r="BN336">
        <v>25</v>
      </c>
      <c r="BO336">
        <v>280</v>
      </c>
      <c r="BP336">
        <v>224</v>
      </c>
      <c r="BQ336">
        <v>9</v>
      </c>
      <c r="BR336">
        <v>1</v>
      </c>
      <c r="BS336">
        <v>0</v>
      </c>
      <c r="BT336">
        <v>0</v>
      </c>
      <c r="BU336">
        <v>4</v>
      </c>
      <c r="BV336">
        <v>0</v>
      </c>
      <c r="BW336">
        <v>41</v>
      </c>
      <c r="BX336">
        <v>0</v>
      </c>
      <c r="BY336">
        <v>1</v>
      </c>
      <c r="BZ336">
        <v>280</v>
      </c>
      <c r="CA336">
        <v>14</v>
      </c>
      <c r="CB336">
        <v>1</v>
      </c>
      <c r="CC336">
        <v>1</v>
      </c>
      <c r="CD336">
        <v>11</v>
      </c>
      <c r="CE336">
        <v>0</v>
      </c>
      <c r="CF336">
        <v>0</v>
      </c>
      <c r="CG336">
        <v>0</v>
      </c>
      <c r="CH336">
        <v>0</v>
      </c>
      <c r="CI336">
        <v>1</v>
      </c>
      <c r="CJ336">
        <v>0</v>
      </c>
      <c r="CK336">
        <v>0</v>
      </c>
      <c r="CL336">
        <v>14</v>
      </c>
      <c r="CM336">
        <v>8</v>
      </c>
      <c r="CN336">
        <v>4</v>
      </c>
      <c r="CO336">
        <v>4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8</v>
      </c>
      <c r="CY336">
        <v>31</v>
      </c>
      <c r="CZ336">
        <v>24</v>
      </c>
      <c r="DA336">
        <v>2</v>
      </c>
      <c r="DB336">
        <v>0</v>
      </c>
      <c r="DC336">
        <v>1</v>
      </c>
      <c r="DD336">
        <v>1</v>
      </c>
      <c r="DE336">
        <v>0</v>
      </c>
      <c r="DF336">
        <v>0</v>
      </c>
      <c r="DG336">
        <v>2</v>
      </c>
      <c r="DH336">
        <v>1</v>
      </c>
      <c r="DI336">
        <v>0</v>
      </c>
      <c r="DJ336">
        <v>31</v>
      </c>
      <c r="DK336">
        <v>88</v>
      </c>
      <c r="DL336">
        <v>52</v>
      </c>
      <c r="DM336">
        <v>10</v>
      </c>
      <c r="DN336">
        <v>2</v>
      </c>
      <c r="DO336">
        <v>0</v>
      </c>
      <c r="DP336">
        <v>19</v>
      </c>
      <c r="DQ336">
        <v>1</v>
      </c>
      <c r="DR336">
        <v>3</v>
      </c>
      <c r="DS336">
        <v>0</v>
      </c>
      <c r="DT336">
        <v>0</v>
      </c>
      <c r="DU336">
        <v>1</v>
      </c>
      <c r="DV336">
        <v>88</v>
      </c>
      <c r="DW336">
        <v>19</v>
      </c>
      <c r="DX336">
        <v>0</v>
      </c>
      <c r="DY336">
        <v>5</v>
      </c>
      <c r="DZ336">
        <v>0</v>
      </c>
      <c r="EA336">
        <v>6</v>
      </c>
      <c r="EB336">
        <v>0</v>
      </c>
      <c r="EC336">
        <v>6</v>
      </c>
      <c r="ED336">
        <v>0</v>
      </c>
      <c r="EE336">
        <v>0</v>
      </c>
      <c r="EF336">
        <v>0</v>
      </c>
      <c r="EG336">
        <v>2</v>
      </c>
      <c r="EH336">
        <v>19</v>
      </c>
      <c r="EI336">
        <v>5</v>
      </c>
      <c r="EJ336">
        <v>0</v>
      </c>
      <c r="EK336">
        <v>4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1</v>
      </c>
      <c r="ER336">
        <v>5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2</v>
      </c>
      <c r="FF336">
        <v>0</v>
      </c>
      <c r="FG336">
        <v>0</v>
      </c>
      <c r="FH336">
        <v>1</v>
      </c>
      <c r="FI336">
        <v>0</v>
      </c>
      <c r="FJ336">
        <v>0</v>
      </c>
      <c r="FK336">
        <v>1</v>
      </c>
      <c r="FL336">
        <v>0</v>
      </c>
      <c r="FM336">
        <v>0</v>
      </c>
      <c r="FN336">
        <v>0</v>
      </c>
      <c r="FO336">
        <v>0</v>
      </c>
      <c r="FP336">
        <v>2</v>
      </c>
    </row>
    <row r="337" spans="1:172" ht="14.25">
      <c r="A337">
        <v>332</v>
      </c>
      <c r="B337" t="str">
        <f t="shared" si="59"/>
        <v>101601</v>
      </c>
      <c r="C337" t="str">
        <f t="shared" si="60"/>
        <v>m. Tomaszów Mazowiecki</v>
      </c>
      <c r="D337" t="str">
        <f t="shared" si="61"/>
        <v>tomaszowski</v>
      </c>
      <c r="E337" t="str">
        <f t="shared" si="62"/>
        <v>łódzkie</v>
      </c>
      <c r="F337">
        <v>23</v>
      </c>
      <c r="G337" t="str">
        <f>"Ośrodek Rehabilitacji Dzieci Niepełnosprawnych, ul. Jana Pawła II 64/66, 97-200 Tomaszów Mazowiecki"</f>
        <v>Ośrodek Rehabilitacji Dzieci Niepełnosprawnych, ul. Jana Pawła II 64/66, 97-200 Tomaszów Mazowiecki</v>
      </c>
      <c r="H337">
        <v>2229</v>
      </c>
      <c r="I337">
        <v>2229</v>
      </c>
      <c r="J337">
        <v>0</v>
      </c>
      <c r="K337">
        <v>1580</v>
      </c>
      <c r="L337">
        <v>1006</v>
      </c>
      <c r="M337">
        <v>574</v>
      </c>
      <c r="N337">
        <v>574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574</v>
      </c>
      <c r="Z337">
        <v>0</v>
      </c>
      <c r="AA337">
        <v>0</v>
      </c>
      <c r="AB337">
        <v>574</v>
      </c>
      <c r="AC337">
        <v>7</v>
      </c>
      <c r="AD337">
        <v>567</v>
      </c>
      <c r="AE337">
        <v>8</v>
      </c>
      <c r="AF337">
        <v>4</v>
      </c>
      <c r="AG337">
        <v>0</v>
      </c>
      <c r="AH337">
        <v>0</v>
      </c>
      <c r="AI337">
        <v>0</v>
      </c>
      <c r="AJ337">
        <v>1</v>
      </c>
      <c r="AK337">
        <v>0</v>
      </c>
      <c r="AL337">
        <v>0</v>
      </c>
      <c r="AM337">
        <v>2</v>
      </c>
      <c r="AN337">
        <v>0</v>
      </c>
      <c r="AO337">
        <v>1</v>
      </c>
      <c r="AP337">
        <v>8</v>
      </c>
      <c r="AQ337">
        <v>2</v>
      </c>
      <c r="AR337">
        <v>2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2</v>
      </c>
      <c r="BC337">
        <v>41</v>
      </c>
      <c r="BD337">
        <v>25</v>
      </c>
      <c r="BE337">
        <v>4</v>
      </c>
      <c r="BF337">
        <v>1</v>
      </c>
      <c r="BG337">
        <v>2</v>
      </c>
      <c r="BH337">
        <v>1</v>
      </c>
      <c r="BI337">
        <v>0</v>
      </c>
      <c r="BJ337">
        <v>0</v>
      </c>
      <c r="BK337">
        <v>1</v>
      </c>
      <c r="BL337">
        <v>2</v>
      </c>
      <c r="BM337">
        <v>5</v>
      </c>
      <c r="BN337">
        <v>41</v>
      </c>
      <c r="BO337">
        <v>248</v>
      </c>
      <c r="BP337">
        <v>203</v>
      </c>
      <c r="BQ337">
        <v>6</v>
      </c>
      <c r="BR337">
        <v>8</v>
      </c>
      <c r="BS337">
        <v>2</v>
      </c>
      <c r="BT337">
        <v>0</v>
      </c>
      <c r="BU337">
        <v>4</v>
      </c>
      <c r="BV337">
        <v>1</v>
      </c>
      <c r="BW337">
        <v>23</v>
      </c>
      <c r="BX337">
        <v>0</v>
      </c>
      <c r="BY337">
        <v>1</v>
      </c>
      <c r="BZ337">
        <v>248</v>
      </c>
      <c r="CA337">
        <v>22</v>
      </c>
      <c r="CB337">
        <v>0</v>
      </c>
      <c r="CC337">
        <v>4</v>
      </c>
      <c r="CD337">
        <v>17</v>
      </c>
      <c r="CE337">
        <v>0</v>
      </c>
      <c r="CF337">
        <v>0</v>
      </c>
      <c r="CG337">
        <v>0</v>
      </c>
      <c r="CH337">
        <v>0</v>
      </c>
      <c r="CI337">
        <v>1</v>
      </c>
      <c r="CJ337">
        <v>0</v>
      </c>
      <c r="CK337">
        <v>0</v>
      </c>
      <c r="CL337">
        <v>22</v>
      </c>
      <c r="CM337">
        <v>8</v>
      </c>
      <c r="CN337">
        <v>3</v>
      </c>
      <c r="CO337">
        <v>3</v>
      </c>
      <c r="CP337">
        <v>1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1</v>
      </c>
      <c r="CX337">
        <v>8</v>
      </c>
      <c r="CY337">
        <v>34</v>
      </c>
      <c r="CZ337">
        <v>18</v>
      </c>
      <c r="DA337">
        <v>7</v>
      </c>
      <c r="DB337">
        <v>0</v>
      </c>
      <c r="DC337">
        <v>0</v>
      </c>
      <c r="DD337">
        <v>1</v>
      </c>
      <c r="DE337">
        <v>2</v>
      </c>
      <c r="DF337">
        <v>1</v>
      </c>
      <c r="DG337">
        <v>2</v>
      </c>
      <c r="DH337">
        <v>1</v>
      </c>
      <c r="DI337">
        <v>2</v>
      </c>
      <c r="DJ337">
        <v>34</v>
      </c>
      <c r="DK337">
        <v>187</v>
      </c>
      <c r="DL337">
        <v>120</v>
      </c>
      <c r="DM337">
        <v>17</v>
      </c>
      <c r="DN337">
        <v>2</v>
      </c>
      <c r="DO337">
        <v>0</v>
      </c>
      <c r="DP337">
        <v>39</v>
      </c>
      <c r="DQ337">
        <v>1</v>
      </c>
      <c r="DR337">
        <v>3</v>
      </c>
      <c r="DS337">
        <v>3</v>
      </c>
      <c r="DT337">
        <v>0</v>
      </c>
      <c r="DU337">
        <v>2</v>
      </c>
      <c r="DV337">
        <v>187</v>
      </c>
      <c r="DW337">
        <v>14</v>
      </c>
      <c r="DX337">
        <v>3</v>
      </c>
      <c r="DY337">
        <v>0</v>
      </c>
      <c r="DZ337">
        <v>0</v>
      </c>
      <c r="EA337">
        <v>1</v>
      </c>
      <c r="EB337">
        <v>3</v>
      </c>
      <c r="EC337">
        <v>4</v>
      </c>
      <c r="ED337">
        <v>2</v>
      </c>
      <c r="EE337">
        <v>0</v>
      </c>
      <c r="EF337">
        <v>0</v>
      </c>
      <c r="EG337">
        <v>1</v>
      </c>
      <c r="EH337">
        <v>14</v>
      </c>
      <c r="EI337">
        <v>1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1</v>
      </c>
      <c r="ER337">
        <v>1</v>
      </c>
      <c r="ES337">
        <v>0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2</v>
      </c>
      <c r="FF337">
        <v>1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1</v>
      </c>
      <c r="FP337">
        <v>2</v>
      </c>
    </row>
    <row r="338" spans="1:172" ht="14.25">
      <c r="A338">
        <v>333</v>
      </c>
      <c r="B338" t="str">
        <f t="shared" si="59"/>
        <v>101601</v>
      </c>
      <c r="C338" t="str">
        <f t="shared" si="60"/>
        <v>m. Tomaszów Mazowiecki</v>
      </c>
      <c r="D338" t="str">
        <f t="shared" si="61"/>
        <v>tomaszowski</v>
      </c>
      <c r="E338" t="str">
        <f t="shared" si="62"/>
        <v>łódzkie</v>
      </c>
      <c r="F338">
        <v>24</v>
      </c>
      <c r="G338" t="str">
        <f>"Tomaszowskie Centrum Zdrowia Sp. z o.o., ul. Jana Pawła II 35, 97-200 Tomaszów Mazowiecki"</f>
        <v>Tomaszowskie Centrum Zdrowia Sp. z o.o., ul. Jana Pawła II 35, 97-200 Tomaszów Mazowiecki</v>
      </c>
      <c r="H338">
        <v>192</v>
      </c>
      <c r="I338">
        <v>192</v>
      </c>
      <c r="J338">
        <v>0</v>
      </c>
      <c r="K338">
        <v>330</v>
      </c>
      <c r="L338">
        <v>284</v>
      </c>
      <c r="M338">
        <v>46</v>
      </c>
      <c r="N338">
        <v>46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46</v>
      </c>
      <c r="Z338">
        <v>0</v>
      </c>
      <c r="AA338">
        <v>0</v>
      </c>
      <c r="AB338">
        <v>46</v>
      </c>
      <c r="AC338">
        <v>3</v>
      </c>
      <c r="AD338">
        <v>43</v>
      </c>
      <c r="AE338">
        <v>2</v>
      </c>
      <c r="AF338">
        <v>1</v>
      </c>
      <c r="AG338">
        <v>0</v>
      </c>
      <c r="AH338">
        <v>0</v>
      </c>
      <c r="AI338">
        <v>0</v>
      </c>
      <c r="AJ338">
        <v>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2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4</v>
      </c>
      <c r="BD338">
        <v>2</v>
      </c>
      <c r="BE338">
        <v>0</v>
      </c>
      <c r="BF338">
        <v>0</v>
      </c>
      <c r="BG338">
        <v>0</v>
      </c>
      <c r="BH338">
        <v>0</v>
      </c>
      <c r="BI338">
        <v>1</v>
      </c>
      <c r="BJ338">
        <v>0</v>
      </c>
      <c r="BK338">
        <v>1</v>
      </c>
      <c r="BL338">
        <v>0</v>
      </c>
      <c r="BM338">
        <v>0</v>
      </c>
      <c r="BN338">
        <v>4</v>
      </c>
      <c r="BO338">
        <v>17</v>
      </c>
      <c r="BP338">
        <v>13</v>
      </c>
      <c r="BQ338">
        <v>0</v>
      </c>
      <c r="BR338">
        <v>0</v>
      </c>
      <c r="BS338">
        <v>1</v>
      </c>
      <c r="BT338">
        <v>0</v>
      </c>
      <c r="BU338">
        <v>0</v>
      </c>
      <c r="BV338">
        <v>0</v>
      </c>
      <c r="BW338">
        <v>1</v>
      </c>
      <c r="BX338">
        <v>0</v>
      </c>
      <c r="BY338">
        <v>2</v>
      </c>
      <c r="BZ338">
        <v>17</v>
      </c>
      <c r="CA338">
        <v>1</v>
      </c>
      <c r="CB338">
        <v>0</v>
      </c>
      <c r="CC338">
        <v>0</v>
      </c>
      <c r="CD338">
        <v>1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1</v>
      </c>
      <c r="CM338">
        <v>1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1</v>
      </c>
      <c r="CT338">
        <v>0</v>
      </c>
      <c r="CU338">
        <v>0</v>
      </c>
      <c r="CV338">
        <v>0</v>
      </c>
      <c r="CW338">
        <v>0</v>
      </c>
      <c r="CX338">
        <v>1</v>
      </c>
      <c r="CY338">
        <v>3</v>
      </c>
      <c r="CZ338">
        <v>2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1</v>
      </c>
      <c r="DH338">
        <v>0</v>
      </c>
      <c r="DI338">
        <v>0</v>
      </c>
      <c r="DJ338">
        <v>3</v>
      </c>
      <c r="DK338">
        <v>10</v>
      </c>
      <c r="DL338">
        <v>5</v>
      </c>
      <c r="DM338">
        <v>0</v>
      </c>
      <c r="DN338">
        <v>0</v>
      </c>
      <c r="DO338">
        <v>0</v>
      </c>
      <c r="DP338">
        <v>5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10</v>
      </c>
      <c r="DW338">
        <v>4</v>
      </c>
      <c r="DX338">
        <v>0</v>
      </c>
      <c r="DY338">
        <v>1</v>
      </c>
      <c r="DZ338">
        <v>0</v>
      </c>
      <c r="EA338">
        <v>0</v>
      </c>
      <c r="EB338">
        <v>0</v>
      </c>
      <c r="EC338">
        <v>2</v>
      </c>
      <c r="ED338">
        <v>0</v>
      </c>
      <c r="EE338">
        <v>0</v>
      </c>
      <c r="EF338">
        <v>0</v>
      </c>
      <c r="EG338">
        <v>1</v>
      </c>
      <c r="EH338">
        <v>4</v>
      </c>
      <c r="EI338">
        <v>1</v>
      </c>
      <c r="EJ338">
        <v>0</v>
      </c>
      <c r="EK338">
        <v>1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1</v>
      </c>
      <c r="ES338">
        <v>0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</row>
    <row r="339" spans="1:172" ht="14.25">
      <c r="A339">
        <v>334</v>
      </c>
      <c r="B339" t="str">
        <f t="shared" si="59"/>
        <v>101601</v>
      </c>
      <c r="C339" t="str">
        <f t="shared" si="60"/>
        <v>m. Tomaszów Mazowiecki</v>
      </c>
      <c r="D339" t="str">
        <f t="shared" si="61"/>
        <v>tomaszowski</v>
      </c>
      <c r="E339" t="str">
        <f t="shared" si="62"/>
        <v>łódzkie</v>
      </c>
      <c r="F339">
        <v>25</v>
      </c>
      <c r="G339" t="str">
        <f>"Dom Pomocy Społecznej Nr 1, ul. Polna 56, 97-200 Tomaszów Mazowiecki"</f>
        <v>Dom Pomocy Społecznej Nr 1, ul. Polna 56, 97-200 Tomaszów Mazowiecki</v>
      </c>
      <c r="H339">
        <v>73</v>
      </c>
      <c r="I339">
        <v>73</v>
      </c>
      <c r="J339">
        <v>0</v>
      </c>
      <c r="K339">
        <v>73</v>
      </c>
      <c r="L339">
        <v>41</v>
      </c>
      <c r="M339">
        <v>32</v>
      </c>
      <c r="N339">
        <v>32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32</v>
      </c>
      <c r="Z339">
        <v>0</v>
      </c>
      <c r="AA339">
        <v>0</v>
      </c>
      <c r="AB339">
        <v>32</v>
      </c>
      <c r="AC339">
        <v>16</v>
      </c>
      <c r="AD339">
        <v>16</v>
      </c>
      <c r="AE339">
        <v>8</v>
      </c>
      <c r="AF339">
        <v>0</v>
      </c>
      <c r="AG339">
        <v>0</v>
      </c>
      <c r="AH339">
        <v>3</v>
      </c>
      <c r="AI339">
        <v>2</v>
      </c>
      <c r="AJ339">
        <v>0</v>
      </c>
      <c r="AK339">
        <v>1</v>
      </c>
      <c r="AL339">
        <v>1</v>
      </c>
      <c r="AM339">
        <v>1</v>
      </c>
      <c r="AN339">
        <v>0</v>
      </c>
      <c r="AO339">
        <v>0</v>
      </c>
      <c r="AP339">
        <v>8</v>
      </c>
      <c r="AQ339">
        <v>1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1</v>
      </c>
      <c r="AY339">
        <v>0</v>
      </c>
      <c r="AZ339">
        <v>0</v>
      </c>
      <c r="BA339">
        <v>0</v>
      </c>
      <c r="BB339">
        <v>1</v>
      </c>
      <c r="BC339">
        <v>1</v>
      </c>
      <c r="BD339">
        <v>0</v>
      </c>
      <c r="BE339">
        <v>0</v>
      </c>
      <c r="BF339">
        <v>0</v>
      </c>
      <c r="BG339">
        <v>0</v>
      </c>
      <c r="BH339">
        <v>1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1</v>
      </c>
      <c r="BO339">
        <v>4</v>
      </c>
      <c r="BP339">
        <v>2</v>
      </c>
      <c r="BQ339">
        <v>0</v>
      </c>
      <c r="BR339">
        <v>0</v>
      </c>
      <c r="BS339">
        <v>1</v>
      </c>
      <c r="BT339">
        <v>0</v>
      </c>
      <c r="BU339">
        <v>0</v>
      </c>
      <c r="BV339">
        <v>0</v>
      </c>
      <c r="BW339">
        <v>0</v>
      </c>
      <c r="BX339">
        <v>1</v>
      </c>
      <c r="BY339">
        <v>0</v>
      </c>
      <c r="BZ339">
        <v>4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1</v>
      </c>
      <c r="DL339">
        <v>0</v>
      </c>
      <c r="DM339">
        <v>0</v>
      </c>
      <c r="DN339">
        <v>0</v>
      </c>
      <c r="DO339">
        <v>0</v>
      </c>
      <c r="DP339">
        <v>1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1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1</v>
      </c>
      <c r="EJ339">
        <v>0</v>
      </c>
      <c r="EK339">
        <v>1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1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0</v>
      </c>
      <c r="FP339">
        <v>0</v>
      </c>
    </row>
    <row r="340" spans="1:172" ht="14.25">
      <c r="A340">
        <v>335</v>
      </c>
      <c r="B340" t="str">
        <f t="shared" si="59"/>
        <v>101601</v>
      </c>
      <c r="C340" t="str">
        <f t="shared" si="60"/>
        <v>m. Tomaszów Mazowiecki</v>
      </c>
      <c r="D340" t="str">
        <f t="shared" si="61"/>
        <v>tomaszowski</v>
      </c>
      <c r="E340" t="str">
        <f t="shared" si="62"/>
        <v>łódzkie</v>
      </c>
      <c r="F340">
        <v>26</v>
      </c>
      <c r="G340" t="str">
        <f>"Dom Pomocy Społecznej Nr 1 (filia), ul. Farbiarska 27/29, 97-200 Tomaszów Mazowiecki"</f>
        <v>Dom Pomocy Społecznej Nr 1 (filia), ul. Farbiarska 27/29, 97-200 Tomaszów Mazowiecki</v>
      </c>
      <c r="H340">
        <v>70</v>
      </c>
      <c r="I340">
        <v>70</v>
      </c>
      <c r="J340">
        <v>0</v>
      </c>
      <c r="K340">
        <v>73</v>
      </c>
      <c r="L340">
        <v>28</v>
      </c>
      <c r="M340">
        <v>45</v>
      </c>
      <c r="N340">
        <v>45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45</v>
      </c>
      <c r="Z340">
        <v>0</v>
      </c>
      <c r="AA340">
        <v>0</v>
      </c>
      <c r="AB340">
        <v>45</v>
      </c>
      <c r="AC340">
        <v>3</v>
      </c>
      <c r="AD340">
        <v>42</v>
      </c>
      <c r="AE340">
        <v>8</v>
      </c>
      <c r="AF340">
        <v>0</v>
      </c>
      <c r="AG340">
        <v>1</v>
      </c>
      <c r="AH340">
        <v>0</v>
      </c>
      <c r="AI340">
        <v>1</v>
      </c>
      <c r="AJ340">
        <v>2</v>
      </c>
      <c r="AK340">
        <v>0</v>
      </c>
      <c r="AL340">
        <v>1</v>
      </c>
      <c r="AM340">
        <v>3</v>
      </c>
      <c r="AN340">
        <v>0</v>
      </c>
      <c r="AO340">
        <v>0</v>
      </c>
      <c r="AP340">
        <v>8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2</v>
      </c>
      <c r="BD340">
        <v>1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1</v>
      </c>
      <c r="BK340">
        <v>0</v>
      </c>
      <c r="BL340">
        <v>0</v>
      </c>
      <c r="BM340">
        <v>0</v>
      </c>
      <c r="BN340">
        <v>2</v>
      </c>
      <c r="BO340">
        <v>8</v>
      </c>
      <c r="BP340">
        <v>2</v>
      </c>
      <c r="BQ340">
        <v>0</v>
      </c>
      <c r="BR340">
        <v>1</v>
      </c>
      <c r="BS340">
        <v>1</v>
      </c>
      <c r="BT340">
        <v>0</v>
      </c>
      <c r="BU340">
        <v>3</v>
      </c>
      <c r="BV340">
        <v>0</v>
      </c>
      <c r="BW340">
        <v>1</v>
      </c>
      <c r="BX340">
        <v>0</v>
      </c>
      <c r="BY340">
        <v>0</v>
      </c>
      <c r="BZ340">
        <v>8</v>
      </c>
      <c r="CA340">
        <v>20</v>
      </c>
      <c r="CB340">
        <v>0</v>
      </c>
      <c r="CC340">
        <v>0</v>
      </c>
      <c r="CD340">
        <v>20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20</v>
      </c>
      <c r="CM340">
        <v>1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1</v>
      </c>
      <c r="CT340">
        <v>0</v>
      </c>
      <c r="CU340">
        <v>0</v>
      </c>
      <c r="CV340">
        <v>0</v>
      </c>
      <c r="CW340">
        <v>0</v>
      </c>
      <c r="CX340">
        <v>1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2</v>
      </c>
      <c r="DL340">
        <v>1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1</v>
      </c>
      <c r="DS340">
        <v>0</v>
      </c>
      <c r="DT340">
        <v>0</v>
      </c>
      <c r="DU340">
        <v>0</v>
      </c>
      <c r="DV340">
        <v>2</v>
      </c>
      <c r="DW340">
        <v>1</v>
      </c>
      <c r="DX340">
        <v>1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1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0</v>
      </c>
      <c r="FP340">
        <v>0</v>
      </c>
    </row>
    <row r="341" spans="1:172" ht="14.25">
      <c r="A341">
        <v>336</v>
      </c>
      <c r="B341" t="str">
        <f t="shared" si="59"/>
        <v>101601</v>
      </c>
      <c r="C341" t="str">
        <f t="shared" si="60"/>
        <v>m. Tomaszów Mazowiecki</v>
      </c>
      <c r="D341" t="str">
        <f t="shared" si="61"/>
        <v>tomaszowski</v>
      </c>
      <c r="E341" t="str">
        <f t="shared" si="62"/>
        <v>łódzkie</v>
      </c>
      <c r="F341">
        <v>27</v>
      </c>
      <c r="G341" t="str">
        <f>"Dom Pomocy Społecznej Nr 2, ul. Jana Pawła II 37, 97-200 Tomaszów Mazowiecki"</f>
        <v>Dom Pomocy Społecznej Nr 2, ul. Jana Pawła II 37, 97-200 Tomaszów Mazowiecki</v>
      </c>
      <c r="H341">
        <v>110</v>
      </c>
      <c r="I341">
        <v>110</v>
      </c>
      <c r="J341">
        <v>0</v>
      </c>
      <c r="K341">
        <v>113</v>
      </c>
      <c r="L341">
        <v>67</v>
      </c>
      <c r="M341">
        <v>46</v>
      </c>
      <c r="N341">
        <v>46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46</v>
      </c>
      <c r="Z341">
        <v>0</v>
      </c>
      <c r="AA341">
        <v>0</v>
      </c>
      <c r="AB341">
        <v>46</v>
      </c>
      <c r="AC341">
        <v>3</v>
      </c>
      <c r="AD341">
        <v>43</v>
      </c>
      <c r="AE341">
        <v>3</v>
      </c>
      <c r="AF341">
        <v>0</v>
      </c>
      <c r="AG341">
        <v>1</v>
      </c>
      <c r="AH341">
        <v>2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3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29</v>
      </c>
      <c r="BP341">
        <v>25</v>
      </c>
      <c r="BQ341">
        <v>0</v>
      </c>
      <c r="BR341">
        <v>1</v>
      </c>
      <c r="BS341">
        <v>0</v>
      </c>
      <c r="BT341">
        <v>0</v>
      </c>
      <c r="BU341">
        <v>2</v>
      </c>
      <c r="BV341">
        <v>0</v>
      </c>
      <c r="BW341">
        <v>1</v>
      </c>
      <c r="BX341">
        <v>0</v>
      </c>
      <c r="BY341">
        <v>0</v>
      </c>
      <c r="BZ341">
        <v>29</v>
      </c>
      <c r="CA341">
        <v>3</v>
      </c>
      <c r="CB341">
        <v>0</v>
      </c>
      <c r="CC341">
        <v>0</v>
      </c>
      <c r="CD341">
        <v>3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3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1</v>
      </c>
      <c r="CZ341">
        <v>0</v>
      </c>
      <c r="DA341">
        <v>0</v>
      </c>
      <c r="DB341">
        <v>1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1</v>
      </c>
      <c r="DK341">
        <v>6</v>
      </c>
      <c r="DL341">
        <v>2</v>
      </c>
      <c r="DM341">
        <v>2</v>
      </c>
      <c r="DN341">
        <v>0</v>
      </c>
      <c r="DO341">
        <v>1</v>
      </c>
      <c r="DP341">
        <v>1</v>
      </c>
      <c r="DQ341">
        <v>0</v>
      </c>
      <c r="DR341">
        <v>0</v>
      </c>
      <c r="DS341">
        <v>0</v>
      </c>
      <c r="DT341">
        <v>0</v>
      </c>
      <c r="DU341">
        <v>0</v>
      </c>
      <c r="DV341">
        <v>6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1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0</v>
      </c>
      <c r="FM341">
        <v>0</v>
      </c>
      <c r="FN341">
        <v>0</v>
      </c>
      <c r="FO341">
        <v>1</v>
      </c>
      <c r="FP341">
        <v>1</v>
      </c>
    </row>
    <row r="342" spans="1:172" ht="14.25">
      <c r="A342">
        <v>337</v>
      </c>
      <c r="B342" t="str">
        <f>"101602"</f>
        <v>101602</v>
      </c>
      <c r="C342" t="str">
        <f>"Będków"</f>
        <v>Będków</v>
      </c>
      <c r="D342" t="str">
        <f t="shared" si="61"/>
        <v>tomaszowski</v>
      </c>
      <c r="E342" t="str">
        <f t="shared" si="62"/>
        <v>łódzkie</v>
      </c>
      <c r="F342">
        <v>1</v>
      </c>
      <c r="G342" t="str">
        <f>"Zespół Szkolno-Gimnazjalny, Reymonta 11, 97-319 Będków"</f>
        <v>Zespół Szkolno-Gimnazjalny, Reymonta 11, 97-319 Będków</v>
      </c>
      <c r="H342">
        <v>1033</v>
      </c>
      <c r="I342">
        <v>1033</v>
      </c>
      <c r="J342">
        <v>0</v>
      </c>
      <c r="K342">
        <v>730</v>
      </c>
      <c r="L342">
        <v>497</v>
      </c>
      <c r="M342">
        <v>233</v>
      </c>
      <c r="N342">
        <v>233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233</v>
      </c>
      <c r="Z342">
        <v>0</v>
      </c>
      <c r="AA342">
        <v>0</v>
      </c>
      <c r="AB342">
        <v>233</v>
      </c>
      <c r="AC342">
        <v>13</v>
      </c>
      <c r="AD342">
        <v>220</v>
      </c>
      <c r="AE342">
        <v>1</v>
      </c>
      <c r="AF342">
        <v>1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1</v>
      </c>
      <c r="AQ342">
        <v>2</v>
      </c>
      <c r="AR342">
        <v>1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1</v>
      </c>
      <c r="AY342">
        <v>0</v>
      </c>
      <c r="AZ342">
        <v>0</v>
      </c>
      <c r="BA342">
        <v>0</v>
      </c>
      <c r="BB342">
        <v>2</v>
      </c>
      <c r="BC342">
        <v>23</v>
      </c>
      <c r="BD342">
        <v>14</v>
      </c>
      <c r="BE342">
        <v>0</v>
      </c>
      <c r="BF342">
        <v>0</v>
      </c>
      <c r="BG342">
        <v>0</v>
      </c>
      <c r="BH342">
        <v>1</v>
      </c>
      <c r="BI342">
        <v>5</v>
      </c>
      <c r="BJ342">
        <v>1</v>
      </c>
      <c r="BK342">
        <v>0</v>
      </c>
      <c r="BL342">
        <v>0</v>
      </c>
      <c r="BM342">
        <v>2</v>
      </c>
      <c r="BN342">
        <v>23</v>
      </c>
      <c r="BO342">
        <v>94</v>
      </c>
      <c r="BP342">
        <v>75</v>
      </c>
      <c r="BQ342">
        <v>8</v>
      </c>
      <c r="BR342">
        <v>5</v>
      </c>
      <c r="BS342">
        <v>1</v>
      </c>
      <c r="BT342">
        <v>0</v>
      </c>
      <c r="BU342">
        <v>0</v>
      </c>
      <c r="BV342">
        <v>0</v>
      </c>
      <c r="BW342">
        <v>3</v>
      </c>
      <c r="BX342">
        <v>1</v>
      </c>
      <c r="BY342">
        <v>1</v>
      </c>
      <c r="BZ342">
        <v>94</v>
      </c>
      <c r="CA342">
        <v>3</v>
      </c>
      <c r="CB342">
        <v>0</v>
      </c>
      <c r="CC342">
        <v>1</v>
      </c>
      <c r="CD342">
        <v>2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3</v>
      </c>
      <c r="CM342">
        <v>3</v>
      </c>
      <c r="CN342">
        <v>2</v>
      </c>
      <c r="CO342">
        <v>0</v>
      </c>
      <c r="CP342">
        <v>0</v>
      </c>
      <c r="CQ342">
        <v>0</v>
      </c>
      <c r="CR342">
        <v>0</v>
      </c>
      <c r="CS342">
        <v>1</v>
      </c>
      <c r="CT342">
        <v>0</v>
      </c>
      <c r="CU342">
        <v>0</v>
      </c>
      <c r="CV342">
        <v>0</v>
      </c>
      <c r="CW342">
        <v>0</v>
      </c>
      <c r="CX342">
        <v>3</v>
      </c>
      <c r="CY342">
        <v>14</v>
      </c>
      <c r="CZ342">
        <v>7</v>
      </c>
      <c r="DA342">
        <v>0</v>
      </c>
      <c r="DB342">
        <v>2</v>
      </c>
      <c r="DC342">
        <v>1</v>
      </c>
      <c r="DD342">
        <v>0</v>
      </c>
      <c r="DE342">
        <v>0</v>
      </c>
      <c r="DF342">
        <v>2</v>
      </c>
      <c r="DG342">
        <v>0</v>
      </c>
      <c r="DH342">
        <v>0</v>
      </c>
      <c r="DI342">
        <v>2</v>
      </c>
      <c r="DJ342">
        <v>14</v>
      </c>
      <c r="DK342">
        <v>53</v>
      </c>
      <c r="DL342">
        <v>39</v>
      </c>
      <c r="DM342">
        <v>8</v>
      </c>
      <c r="DN342">
        <v>0</v>
      </c>
      <c r="DO342">
        <v>2</v>
      </c>
      <c r="DP342">
        <v>2</v>
      </c>
      <c r="DQ342">
        <v>0</v>
      </c>
      <c r="DR342">
        <v>1</v>
      </c>
      <c r="DS342">
        <v>0</v>
      </c>
      <c r="DT342">
        <v>0</v>
      </c>
      <c r="DU342">
        <v>1</v>
      </c>
      <c r="DV342">
        <v>53</v>
      </c>
      <c r="DW342">
        <v>24</v>
      </c>
      <c r="DX342">
        <v>4</v>
      </c>
      <c r="DY342">
        <v>12</v>
      </c>
      <c r="DZ342">
        <v>0</v>
      </c>
      <c r="EA342">
        <v>0</v>
      </c>
      <c r="EB342">
        <v>2</v>
      </c>
      <c r="EC342">
        <v>1</v>
      </c>
      <c r="ED342">
        <v>0</v>
      </c>
      <c r="EE342">
        <v>1</v>
      </c>
      <c r="EF342">
        <v>2</v>
      </c>
      <c r="EG342">
        <v>2</v>
      </c>
      <c r="EH342">
        <v>24</v>
      </c>
      <c r="EI342">
        <v>2</v>
      </c>
      <c r="EJ342">
        <v>0</v>
      </c>
      <c r="EK342">
        <v>1</v>
      </c>
      <c r="EL342">
        <v>0</v>
      </c>
      <c r="EM342">
        <v>0</v>
      </c>
      <c r="EN342">
        <v>0</v>
      </c>
      <c r="EO342">
        <v>1</v>
      </c>
      <c r="EP342">
        <v>0</v>
      </c>
      <c r="EQ342">
        <v>0</v>
      </c>
      <c r="ER342">
        <v>2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1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1</v>
      </c>
      <c r="FP342">
        <v>1</v>
      </c>
    </row>
    <row r="343" spans="1:172" ht="14.25">
      <c r="A343">
        <v>338</v>
      </c>
      <c r="B343" t="str">
        <f>"101602"</f>
        <v>101602</v>
      </c>
      <c r="C343" t="str">
        <f>"Będków"</f>
        <v>Będków</v>
      </c>
      <c r="D343" t="str">
        <f t="shared" si="61"/>
        <v>tomaszowski</v>
      </c>
      <c r="E343" t="str">
        <f t="shared" si="62"/>
        <v>łódzkie</v>
      </c>
      <c r="F343">
        <v>2</v>
      </c>
      <c r="G343" t="str">
        <f>"Zespół Szkolno-Gimnazjalny, Reymonta 11, 97-319 Będków"</f>
        <v>Zespół Szkolno-Gimnazjalny, Reymonta 11, 97-319 Będków</v>
      </c>
      <c r="H343">
        <v>1091</v>
      </c>
      <c r="I343">
        <v>1091</v>
      </c>
      <c r="J343">
        <v>0</v>
      </c>
      <c r="K343">
        <v>770</v>
      </c>
      <c r="L343">
        <v>564</v>
      </c>
      <c r="M343">
        <v>206</v>
      </c>
      <c r="N343">
        <v>206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206</v>
      </c>
      <c r="Z343">
        <v>0</v>
      </c>
      <c r="AA343">
        <v>0</v>
      </c>
      <c r="AB343">
        <v>206</v>
      </c>
      <c r="AC343">
        <v>15</v>
      </c>
      <c r="AD343">
        <v>191</v>
      </c>
      <c r="AE343">
        <v>4</v>
      </c>
      <c r="AF343">
        <v>0</v>
      </c>
      <c r="AG343">
        <v>1</v>
      </c>
      <c r="AH343">
        <v>0</v>
      </c>
      <c r="AI343">
        <v>1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2</v>
      </c>
      <c r="AP343">
        <v>4</v>
      </c>
      <c r="AQ343">
        <v>1</v>
      </c>
      <c r="AR343">
        <v>0</v>
      </c>
      <c r="AS343">
        <v>1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1</v>
      </c>
      <c r="BC343">
        <v>10</v>
      </c>
      <c r="BD343">
        <v>3</v>
      </c>
      <c r="BE343">
        <v>2</v>
      </c>
      <c r="BF343">
        <v>0</v>
      </c>
      <c r="BG343">
        <v>0</v>
      </c>
      <c r="BH343">
        <v>3</v>
      </c>
      <c r="BI343">
        <v>0</v>
      </c>
      <c r="BJ343">
        <v>1</v>
      </c>
      <c r="BK343">
        <v>0</v>
      </c>
      <c r="BL343">
        <v>0</v>
      </c>
      <c r="BM343">
        <v>1</v>
      </c>
      <c r="BN343">
        <v>10</v>
      </c>
      <c r="BO343">
        <v>107</v>
      </c>
      <c r="BP343">
        <v>94</v>
      </c>
      <c r="BQ343">
        <v>0</v>
      </c>
      <c r="BR343">
        <v>4</v>
      </c>
      <c r="BS343">
        <v>4</v>
      </c>
      <c r="BT343">
        <v>0</v>
      </c>
      <c r="BU343">
        <v>2</v>
      </c>
      <c r="BV343">
        <v>0</v>
      </c>
      <c r="BW343">
        <v>0</v>
      </c>
      <c r="BX343">
        <v>2</v>
      </c>
      <c r="BY343">
        <v>1</v>
      </c>
      <c r="BZ343">
        <v>107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2</v>
      </c>
      <c r="CN343">
        <v>1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1</v>
      </c>
      <c r="CV343">
        <v>0</v>
      </c>
      <c r="CW343">
        <v>0</v>
      </c>
      <c r="CX343">
        <v>2</v>
      </c>
      <c r="CY343">
        <v>5</v>
      </c>
      <c r="CZ343">
        <v>2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2</v>
      </c>
      <c r="DH343">
        <v>0</v>
      </c>
      <c r="DI343">
        <v>1</v>
      </c>
      <c r="DJ343">
        <v>5</v>
      </c>
      <c r="DK343">
        <v>20</v>
      </c>
      <c r="DL343">
        <v>15</v>
      </c>
      <c r="DM343">
        <v>2</v>
      </c>
      <c r="DN343">
        <v>1</v>
      </c>
      <c r="DO343">
        <v>0</v>
      </c>
      <c r="DP343">
        <v>1</v>
      </c>
      <c r="DQ343">
        <v>0</v>
      </c>
      <c r="DR343">
        <v>0</v>
      </c>
      <c r="DS343">
        <v>0</v>
      </c>
      <c r="DT343">
        <v>1</v>
      </c>
      <c r="DU343">
        <v>0</v>
      </c>
      <c r="DV343">
        <v>20</v>
      </c>
      <c r="DW343">
        <v>37</v>
      </c>
      <c r="DX343">
        <v>8</v>
      </c>
      <c r="DY343">
        <v>15</v>
      </c>
      <c r="DZ343">
        <v>0</v>
      </c>
      <c r="EA343">
        <v>0</v>
      </c>
      <c r="EB343">
        <v>0</v>
      </c>
      <c r="EC343">
        <v>7</v>
      </c>
      <c r="ED343">
        <v>0</v>
      </c>
      <c r="EE343">
        <v>4</v>
      </c>
      <c r="EF343">
        <v>0</v>
      </c>
      <c r="EG343">
        <v>3</v>
      </c>
      <c r="EH343">
        <v>37</v>
      </c>
      <c r="EI343">
        <v>2</v>
      </c>
      <c r="EJ343">
        <v>0</v>
      </c>
      <c r="EK343">
        <v>1</v>
      </c>
      <c r="EL343">
        <v>0</v>
      </c>
      <c r="EM343">
        <v>0</v>
      </c>
      <c r="EN343">
        <v>1</v>
      </c>
      <c r="EO343">
        <v>0</v>
      </c>
      <c r="EP343">
        <v>0</v>
      </c>
      <c r="EQ343">
        <v>0</v>
      </c>
      <c r="ER343">
        <v>2</v>
      </c>
      <c r="ES343">
        <v>3</v>
      </c>
      <c r="ET343">
        <v>3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3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</row>
    <row r="344" spans="1:172" ht="14.25">
      <c r="A344">
        <v>339</v>
      </c>
      <c r="B344" t="str">
        <f>"101602"</f>
        <v>101602</v>
      </c>
      <c r="C344" t="str">
        <f>"Będków"</f>
        <v>Będków</v>
      </c>
      <c r="D344" t="str">
        <f t="shared" si="61"/>
        <v>tomaszowski</v>
      </c>
      <c r="E344" t="str">
        <f t="shared" si="62"/>
        <v>łódzkie</v>
      </c>
      <c r="F344">
        <v>3</v>
      </c>
      <c r="G344" t="str">
        <f>"Warsztaty Terapii Zajęciowej, Rudnik 10, 97-319 Będków"</f>
        <v>Warsztaty Terapii Zajęciowej, Rudnik 10, 97-319 Będków</v>
      </c>
      <c r="H344">
        <v>689</v>
      </c>
      <c r="I344">
        <v>689</v>
      </c>
      <c r="J344">
        <v>0</v>
      </c>
      <c r="K344">
        <v>490</v>
      </c>
      <c r="L344">
        <v>393</v>
      </c>
      <c r="M344">
        <v>97</v>
      </c>
      <c r="N344">
        <v>97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97</v>
      </c>
      <c r="Z344">
        <v>0</v>
      </c>
      <c r="AA344">
        <v>0</v>
      </c>
      <c r="AB344">
        <v>97</v>
      </c>
      <c r="AC344">
        <v>4</v>
      </c>
      <c r="AD344">
        <v>93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2</v>
      </c>
      <c r="BD344">
        <v>1</v>
      </c>
      <c r="BE344">
        <v>1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2</v>
      </c>
      <c r="BO344">
        <v>50</v>
      </c>
      <c r="BP344">
        <v>46</v>
      </c>
      <c r="BQ344">
        <v>1</v>
      </c>
      <c r="BR344">
        <v>0</v>
      </c>
      <c r="BS344">
        <v>0</v>
      </c>
      <c r="BT344">
        <v>0</v>
      </c>
      <c r="BU344">
        <v>1</v>
      </c>
      <c r="BV344">
        <v>0</v>
      </c>
      <c r="BW344">
        <v>2</v>
      </c>
      <c r="BX344">
        <v>0</v>
      </c>
      <c r="BY344">
        <v>0</v>
      </c>
      <c r="BZ344">
        <v>50</v>
      </c>
      <c r="CA344">
        <v>5</v>
      </c>
      <c r="CB344">
        <v>1</v>
      </c>
      <c r="CC344">
        <v>0</v>
      </c>
      <c r="CD344">
        <v>4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5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5</v>
      </c>
      <c r="CZ344">
        <v>1</v>
      </c>
      <c r="DA344">
        <v>0</v>
      </c>
      <c r="DB344">
        <v>0</v>
      </c>
      <c r="DC344">
        <v>0</v>
      </c>
      <c r="DD344">
        <v>1</v>
      </c>
      <c r="DE344">
        <v>0</v>
      </c>
      <c r="DF344">
        <v>0</v>
      </c>
      <c r="DG344">
        <v>2</v>
      </c>
      <c r="DH344">
        <v>0</v>
      </c>
      <c r="DI344">
        <v>1</v>
      </c>
      <c r="DJ344">
        <v>5</v>
      </c>
      <c r="DK344">
        <v>8</v>
      </c>
      <c r="DL344">
        <v>4</v>
      </c>
      <c r="DM344">
        <v>2</v>
      </c>
      <c r="DN344">
        <v>0</v>
      </c>
      <c r="DO344">
        <v>0</v>
      </c>
      <c r="DP344">
        <v>1</v>
      </c>
      <c r="DQ344">
        <v>0</v>
      </c>
      <c r="DR344">
        <v>0</v>
      </c>
      <c r="DS344">
        <v>0</v>
      </c>
      <c r="DT344">
        <v>1</v>
      </c>
      <c r="DU344">
        <v>0</v>
      </c>
      <c r="DV344">
        <v>8</v>
      </c>
      <c r="DW344">
        <v>23</v>
      </c>
      <c r="DX344">
        <v>0</v>
      </c>
      <c r="DY344">
        <v>13</v>
      </c>
      <c r="DZ344">
        <v>0</v>
      </c>
      <c r="EA344">
        <v>0</v>
      </c>
      <c r="EB344">
        <v>1</v>
      </c>
      <c r="EC344">
        <v>1</v>
      </c>
      <c r="ED344">
        <v>1</v>
      </c>
      <c r="EE344">
        <v>4</v>
      </c>
      <c r="EF344">
        <v>0</v>
      </c>
      <c r="EG344">
        <v>3</v>
      </c>
      <c r="EH344">
        <v>23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0</v>
      </c>
    </row>
    <row r="345" spans="1:172" ht="14.25">
      <c r="A345">
        <v>340</v>
      </c>
      <c r="B345" t="str">
        <f>"101603"</f>
        <v>101603</v>
      </c>
      <c r="C345" t="str">
        <f>"Budziszewice"</f>
        <v>Budziszewice</v>
      </c>
      <c r="D345" t="str">
        <f t="shared" si="61"/>
        <v>tomaszowski</v>
      </c>
      <c r="E345" t="str">
        <f t="shared" si="62"/>
        <v>łódzkie</v>
      </c>
      <c r="F345">
        <v>1</v>
      </c>
      <c r="G345" t="str">
        <f>"Sala posiedzeń w Gminnej Bibliotece Publicznej w Budziszewicach, ul. Jana Chryzostoma Paska 85, 97-212 Budziszewice"</f>
        <v>Sala posiedzeń w Gminnej Bibliotece Publicznej w Budziszewicach, ul. Jana Chryzostoma Paska 85, 97-212 Budziszewice</v>
      </c>
      <c r="H345">
        <v>805</v>
      </c>
      <c r="I345">
        <v>805</v>
      </c>
      <c r="J345">
        <v>0</v>
      </c>
      <c r="K345">
        <v>571</v>
      </c>
      <c r="L345">
        <v>366</v>
      </c>
      <c r="M345">
        <v>205</v>
      </c>
      <c r="N345">
        <v>205</v>
      </c>
      <c r="O345">
        <v>0</v>
      </c>
      <c r="P345">
        <v>0</v>
      </c>
      <c r="Q345">
        <v>2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205</v>
      </c>
      <c r="Z345">
        <v>0</v>
      </c>
      <c r="AA345">
        <v>0</v>
      </c>
      <c r="AB345">
        <v>205</v>
      </c>
      <c r="AC345">
        <v>8</v>
      </c>
      <c r="AD345">
        <v>197</v>
      </c>
      <c r="AE345">
        <v>6</v>
      </c>
      <c r="AF345">
        <v>6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6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11</v>
      </c>
      <c r="BD345">
        <v>3</v>
      </c>
      <c r="BE345">
        <v>2</v>
      </c>
      <c r="BF345">
        <v>0</v>
      </c>
      <c r="BG345">
        <v>2</v>
      </c>
      <c r="BH345">
        <v>3</v>
      </c>
      <c r="BI345">
        <v>1</v>
      </c>
      <c r="BJ345">
        <v>0</v>
      </c>
      <c r="BK345">
        <v>0</v>
      </c>
      <c r="BL345">
        <v>0</v>
      </c>
      <c r="BM345">
        <v>0</v>
      </c>
      <c r="BN345">
        <v>11</v>
      </c>
      <c r="BO345">
        <v>87</v>
      </c>
      <c r="BP345">
        <v>70</v>
      </c>
      <c r="BQ345">
        <v>3</v>
      </c>
      <c r="BR345">
        <v>2</v>
      </c>
      <c r="BS345">
        <v>0</v>
      </c>
      <c r="BT345">
        <v>0</v>
      </c>
      <c r="BU345">
        <v>0</v>
      </c>
      <c r="BV345">
        <v>0</v>
      </c>
      <c r="BW345">
        <v>12</v>
      </c>
      <c r="BX345">
        <v>0</v>
      </c>
      <c r="BY345">
        <v>0</v>
      </c>
      <c r="BZ345">
        <v>87</v>
      </c>
      <c r="CA345">
        <v>4</v>
      </c>
      <c r="CB345">
        <v>2</v>
      </c>
      <c r="CC345">
        <v>0</v>
      </c>
      <c r="CD345">
        <v>1</v>
      </c>
      <c r="CE345">
        <v>0</v>
      </c>
      <c r="CF345">
        <v>1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4</v>
      </c>
      <c r="CM345">
        <v>2</v>
      </c>
      <c r="CN345">
        <v>1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1</v>
      </c>
      <c r="CX345">
        <v>2</v>
      </c>
      <c r="CY345">
        <v>8</v>
      </c>
      <c r="CZ345">
        <v>8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8</v>
      </c>
      <c r="DK345">
        <v>46</v>
      </c>
      <c r="DL345">
        <v>24</v>
      </c>
      <c r="DM345">
        <v>14</v>
      </c>
      <c r="DN345">
        <v>1</v>
      </c>
      <c r="DO345">
        <v>0</v>
      </c>
      <c r="DP345">
        <v>2</v>
      </c>
      <c r="DQ345">
        <v>1</v>
      </c>
      <c r="DR345">
        <v>1</v>
      </c>
      <c r="DS345">
        <v>0</v>
      </c>
      <c r="DT345">
        <v>0</v>
      </c>
      <c r="DU345">
        <v>3</v>
      </c>
      <c r="DV345">
        <v>46</v>
      </c>
      <c r="DW345">
        <v>29</v>
      </c>
      <c r="DX345">
        <v>1</v>
      </c>
      <c r="DY345">
        <v>7</v>
      </c>
      <c r="DZ345">
        <v>0</v>
      </c>
      <c r="EA345">
        <v>0</v>
      </c>
      <c r="EB345">
        <v>0</v>
      </c>
      <c r="EC345">
        <v>17</v>
      </c>
      <c r="ED345">
        <v>1</v>
      </c>
      <c r="EE345">
        <v>0</v>
      </c>
      <c r="EF345">
        <v>0</v>
      </c>
      <c r="EG345">
        <v>3</v>
      </c>
      <c r="EH345">
        <v>29</v>
      </c>
      <c r="EI345">
        <v>2</v>
      </c>
      <c r="EJ345">
        <v>0</v>
      </c>
      <c r="EK345">
        <v>2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2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2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2</v>
      </c>
      <c r="FM345">
        <v>0</v>
      </c>
      <c r="FN345">
        <v>0</v>
      </c>
      <c r="FO345">
        <v>0</v>
      </c>
      <c r="FP345">
        <v>2</v>
      </c>
    </row>
    <row r="346" spans="1:172" ht="14.25">
      <c r="A346">
        <v>341</v>
      </c>
      <c r="B346" t="str">
        <f>"101603"</f>
        <v>101603</v>
      </c>
      <c r="C346" t="str">
        <f>"Budziszewice"</f>
        <v>Budziszewice</v>
      </c>
      <c r="D346" t="str">
        <f t="shared" si="61"/>
        <v>tomaszowski</v>
      </c>
      <c r="E346" t="str">
        <f t="shared" si="62"/>
        <v>łódzkie</v>
      </c>
      <c r="F346">
        <v>2</v>
      </c>
      <c r="G346" t="str">
        <f>"Punkt Przedszkolny w Rękawcu, Rękawiec 13, 97-212 Budziszewice"</f>
        <v>Punkt Przedszkolny w Rękawcu, Rękawiec 13, 97-212 Budziszewice</v>
      </c>
      <c r="H346">
        <v>565</v>
      </c>
      <c r="I346">
        <v>565</v>
      </c>
      <c r="J346">
        <v>0</v>
      </c>
      <c r="K346">
        <v>400</v>
      </c>
      <c r="L346">
        <v>260</v>
      </c>
      <c r="M346">
        <v>140</v>
      </c>
      <c r="N346">
        <v>140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140</v>
      </c>
      <c r="Z346">
        <v>0</v>
      </c>
      <c r="AA346">
        <v>0</v>
      </c>
      <c r="AB346">
        <v>140</v>
      </c>
      <c r="AC346">
        <v>8</v>
      </c>
      <c r="AD346">
        <v>132</v>
      </c>
      <c r="AE346">
        <v>2</v>
      </c>
      <c r="AF346">
        <v>1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1</v>
      </c>
      <c r="AM346">
        <v>0</v>
      </c>
      <c r="AN346">
        <v>0</v>
      </c>
      <c r="AO346">
        <v>0</v>
      </c>
      <c r="AP346">
        <v>2</v>
      </c>
      <c r="AQ346">
        <v>3</v>
      </c>
      <c r="AR346">
        <v>1</v>
      </c>
      <c r="AS346">
        <v>0</v>
      </c>
      <c r="AT346">
        <v>0</v>
      </c>
      <c r="AU346">
        <v>1</v>
      </c>
      <c r="AV346">
        <v>0</v>
      </c>
      <c r="AW346">
        <v>0</v>
      </c>
      <c r="AX346">
        <v>0</v>
      </c>
      <c r="AY346">
        <v>0</v>
      </c>
      <c r="AZ346">
        <v>1</v>
      </c>
      <c r="BA346">
        <v>0</v>
      </c>
      <c r="BB346">
        <v>3</v>
      </c>
      <c r="BC346">
        <v>7</v>
      </c>
      <c r="BD346">
        <v>1</v>
      </c>
      <c r="BE346">
        <v>0</v>
      </c>
      <c r="BF346">
        <v>0</v>
      </c>
      <c r="BG346">
        <v>0</v>
      </c>
      <c r="BH346">
        <v>3</v>
      </c>
      <c r="BI346">
        <v>0</v>
      </c>
      <c r="BJ346">
        <v>0</v>
      </c>
      <c r="BK346">
        <v>1</v>
      </c>
      <c r="BL346">
        <v>1</v>
      </c>
      <c r="BM346">
        <v>1</v>
      </c>
      <c r="BN346">
        <v>7</v>
      </c>
      <c r="BO346">
        <v>85</v>
      </c>
      <c r="BP346">
        <v>62</v>
      </c>
      <c r="BQ346">
        <v>1</v>
      </c>
      <c r="BR346">
        <v>1</v>
      </c>
      <c r="BS346">
        <v>4</v>
      </c>
      <c r="BT346">
        <v>1</v>
      </c>
      <c r="BU346">
        <v>6</v>
      </c>
      <c r="BV346">
        <v>0</v>
      </c>
      <c r="BW346">
        <v>9</v>
      </c>
      <c r="BX346">
        <v>0</v>
      </c>
      <c r="BY346">
        <v>1</v>
      </c>
      <c r="BZ346">
        <v>85</v>
      </c>
      <c r="CA346">
        <v>1</v>
      </c>
      <c r="CB346">
        <v>1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1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3</v>
      </c>
      <c r="CZ346">
        <v>0</v>
      </c>
      <c r="DA346">
        <v>0</v>
      </c>
      <c r="DB346">
        <v>1</v>
      </c>
      <c r="DC346">
        <v>0</v>
      </c>
      <c r="DD346">
        <v>0</v>
      </c>
      <c r="DE346">
        <v>1</v>
      </c>
      <c r="DF346">
        <v>1</v>
      </c>
      <c r="DG346">
        <v>0</v>
      </c>
      <c r="DH346">
        <v>0</v>
      </c>
      <c r="DI346">
        <v>0</v>
      </c>
      <c r="DJ346">
        <v>3</v>
      </c>
      <c r="DK346">
        <v>13</v>
      </c>
      <c r="DL346">
        <v>4</v>
      </c>
      <c r="DM346">
        <v>5</v>
      </c>
      <c r="DN346">
        <v>0</v>
      </c>
      <c r="DO346">
        <v>1</v>
      </c>
      <c r="DP346">
        <v>1</v>
      </c>
      <c r="DQ346">
        <v>0</v>
      </c>
      <c r="DR346">
        <v>0</v>
      </c>
      <c r="DS346">
        <v>1</v>
      </c>
      <c r="DT346">
        <v>1</v>
      </c>
      <c r="DU346">
        <v>0</v>
      </c>
      <c r="DV346">
        <v>13</v>
      </c>
      <c r="DW346">
        <v>16</v>
      </c>
      <c r="DX346">
        <v>1</v>
      </c>
      <c r="DY346">
        <v>9</v>
      </c>
      <c r="DZ346">
        <v>0</v>
      </c>
      <c r="EA346">
        <v>0</v>
      </c>
      <c r="EB346">
        <v>0</v>
      </c>
      <c r="EC346">
        <v>4</v>
      </c>
      <c r="ED346">
        <v>0</v>
      </c>
      <c r="EE346">
        <v>0</v>
      </c>
      <c r="EF346">
        <v>0</v>
      </c>
      <c r="EG346">
        <v>2</v>
      </c>
      <c r="EH346">
        <v>16</v>
      </c>
      <c r="EI346">
        <v>2</v>
      </c>
      <c r="EJ346">
        <v>1</v>
      </c>
      <c r="EK346">
        <v>1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2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</row>
    <row r="347" spans="1:172" ht="14.25">
      <c r="A347">
        <v>342</v>
      </c>
      <c r="B347" t="str">
        <f>"101603"</f>
        <v>101603</v>
      </c>
      <c r="C347" t="str">
        <f>"Budziszewice"</f>
        <v>Budziszewice</v>
      </c>
      <c r="D347" t="str">
        <f aca="true" t="shared" si="63" ref="D347:D378">"tomaszowski"</f>
        <v>tomaszowski</v>
      </c>
      <c r="E347" t="str">
        <f t="shared" si="62"/>
        <v>łódzkie</v>
      </c>
      <c r="F347">
        <v>3</v>
      </c>
      <c r="G347" t="str">
        <f>"Świetlica Wiejska w Węgrzynowicach, Węgrzynowice 68, 97-212 Budziszewice"</f>
        <v>Świetlica Wiejska w Węgrzynowicach, Węgrzynowice 68, 97-212 Budziszewice</v>
      </c>
      <c r="H347">
        <v>432</v>
      </c>
      <c r="I347">
        <v>432</v>
      </c>
      <c r="J347">
        <v>0</v>
      </c>
      <c r="K347">
        <v>300</v>
      </c>
      <c r="L347">
        <v>198</v>
      </c>
      <c r="M347">
        <v>102</v>
      </c>
      <c r="N347">
        <v>102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102</v>
      </c>
      <c r="Z347">
        <v>0</v>
      </c>
      <c r="AA347">
        <v>0</v>
      </c>
      <c r="AB347">
        <v>102</v>
      </c>
      <c r="AC347">
        <v>6</v>
      </c>
      <c r="AD347">
        <v>96</v>
      </c>
      <c r="AE347">
        <v>1</v>
      </c>
      <c r="AF347">
        <v>0</v>
      </c>
      <c r="AG347">
        <v>0</v>
      </c>
      <c r="AH347">
        <v>1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1</v>
      </c>
      <c r="AR347">
        <v>1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1</v>
      </c>
      <c r="BC347">
        <v>1</v>
      </c>
      <c r="BD347">
        <v>0</v>
      </c>
      <c r="BE347">
        <v>0</v>
      </c>
      <c r="BF347">
        <v>0</v>
      </c>
      <c r="BG347">
        <v>0</v>
      </c>
      <c r="BH347">
        <v>1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1</v>
      </c>
      <c r="BO347">
        <v>50</v>
      </c>
      <c r="BP347">
        <v>33</v>
      </c>
      <c r="BQ347">
        <v>3</v>
      </c>
      <c r="BR347">
        <v>0</v>
      </c>
      <c r="BS347">
        <v>0</v>
      </c>
      <c r="BT347">
        <v>0</v>
      </c>
      <c r="BU347">
        <v>3</v>
      </c>
      <c r="BV347">
        <v>0</v>
      </c>
      <c r="BW347">
        <v>8</v>
      </c>
      <c r="BX347">
        <v>1</v>
      </c>
      <c r="BY347">
        <v>2</v>
      </c>
      <c r="BZ347">
        <v>50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1</v>
      </c>
      <c r="CN347">
        <v>0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1</v>
      </c>
      <c r="CY347">
        <v>4</v>
      </c>
      <c r="CZ347">
        <v>3</v>
      </c>
      <c r="DA347">
        <v>1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4</v>
      </c>
      <c r="DK347">
        <v>6</v>
      </c>
      <c r="DL347">
        <v>4</v>
      </c>
      <c r="DM347">
        <v>2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6</v>
      </c>
      <c r="DW347">
        <v>32</v>
      </c>
      <c r="DX347">
        <v>2</v>
      </c>
      <c r="DY347">
        <v>20</v>
      </c>
      <c r="DZ347">
        <v>0</v>
      </c>
      <c r="EA347">
        <v>0</v>
      </c>
      <c r="EB347">
        <v>0</v>
      </c>
      <c r="EC347">
        <v>9</v>
      </c>
      <c r="ED347">
        <v>0</v>
      </c>
      <c r="EE347">
        <v>0</v>
      </c>
      <c r="EF347">
        <v>0</v>
      </c>
      <c r="EG347">
        <v>1</v>
      </c>
      <c r="EH347">
        <v>32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</row>
    <row r="348" spans="1:172" ht="14.25">
      <c r="A348">
        <v>343</v>
      </c>
      <c r="B348" t="str">
        <f>"101604"</f>
        <v>101604</v>
      </c>
      <c r="C348" t="str">
        <f>"Czerniewice"</f>
        <v>Czerniewice</v>
      </c>
      <c r="D348" t="str">
        <f t="shared" si="63"/>
        <v>tomaszowski</v>
      </c>
      <c r="E348" t="str">
        <f t="shared" si="62"/>
        <v>łódzkie</v>
      </c>
      <c r="F348">
        <v>1</v>
      </c>
      <c r="G348" t="str">
        <f>"Publiczna Szkoła Podstawowa w Czerniewicach, ul. Mazowiecka 88, 97-216 Czerniewice"</f>
        <v>Publiczna Szkoła Podstawowa w Czerniewicach, ul. Mazowiecka 88, 97-216 Czerniewice</v>
      </c>
      <c r="H348">
        <v>1108</v>
      </c>
      <c r="I348">
        <v>1108</v>
      </c>
      <c r="J348">
        <v>0</v>
      </c>
      <c r="K348">
        <v>780</v>
      </c>
      <c r="L348">
        <v>523</v>
      </c>
      <c r="M348">
        <v>257</v>
      </c>
      <c r="N348">
        <v>257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257</v>
      </c>
      <c r="Z348">
        <v>0</v>
      </c>
      <c r="AA348">
        <v>0</v>
      </c>
      <c r="AB348">
        <v>257</v>
      </c>
      <c r="AC348">
        <v>13</v>
      </c>
      <c r="AD348">
        <v>244</v>
      </c>
      <c r="AE348">
        <v>6</v>
      </c>
      <c r="AF348">
        <v>2</v>
      </c>
      <c r="AG348">
        <v>2</v>
      </c>
      <c r="AH348">
        <v>0</v>
      </c>
      <c r="AI348">
        <v>0</v>
      </c>
      <c r="AJ348">
        <v>1</v>
      </c>
      <c r="AK348">
        <v>0</v>
      </c>
      <c r="AL348">
        <v>0</v>
      </c>
      <c r="AM348">
        <v>1</v>
      </c>
      <c r="AN348">
        <v>0</v>
      </c>
      <c r="AO348">
        <v>0</v>
      </c>
      <c r="AP348">
        <v>6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9</v>
      </c>
      <c r="BD348">
        <v>8</v>
      </c>
      <c r="BE348">
        <v>1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9</v>
      </c>
      <c r="BO348">
        <v>96</v>
      </c>
      <c r="BP348">
        <v>85</v>
      </c>
      <c r="BQ348">
        <v>1</v>
      </c>
      <c r="BR348">
        <v>2</v>
      </c>
      <c r="BS348">
        <v>0</v>
      </c>
      <c r="BT348">
        <v>1</v>
      </c>
      <c r="BU348">
        <v>3</v>
      </c>
      <c r="BV348">
        <v>0</v>
      </c>
      <c r="BW348">
        <v>3</v>
      </c>
      <c r="BX348">
        <v>0</v>
      </c>
      <c r="BY348">
        <v>1</v>
      </c>
      <c r="BZ348">
        <v>96</v>
      </c>
      <c r="CA348">
        <v>7</v>
      </c>
      <c r="CB348">
        <v>2</v>
      </c>
      <c r="CC348">
        <v>0</v>
      </c>
      <c r="CD348">
        <v>3</v>
      </c>
      <c r="CE348">
        <v>0</v>
      </c>
      <c r="CF348">
        <v>1</v>
      </c>
      <c r="CG348">
        <v>0</v>
      </c>
      <c r="CH348">
        <v>0</v>
      </c>
      <c r="CI348">
        <v>0</v>
      </c>
      <c r="CJ348">
        <v>1</v>
      </c>
      <c r="CK348">
        <v>0</v>
      </c>
      <c r="CL348">
        <v>7</v>
      </c>
      <c r="CM348">
        <v>6</v>
      </c>
      <c r="CN348">
        <v>4</v>
      </c>
      <c r="CO348">
        <v>2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6</v>
      </c>
      <c r="CY348">
        <v>13</v>
      </c>
      <c r="CZ348">
        <v>8</v>
      </c>
      <c r="DA348">
        <v>0</v>
      </c>
      <c r="DB348">
        <v>0</v>
      </c>
      <c r="DC348">
        <v>3</v>
      </c>
      <c r="DD348">
        <v>0</v>
      </c>
      <c r="DE348">
        <v>0</v>
      </c>
      <c r="DF348">
        <v>2</v>
      </c>
      <c r="DG348">
        <v>0</v>
      </c>
      <c r="DH348">
        <v>0</v>
      </c>
      <c r="DI348">
        <v>0</v>
      </c>
      <c r="DJ348">
        <v>13</v>
      </c>
      <c r="DK348">
        <v>16</v>
      </c>
      <c r="DL348">
        <v>9</v>
      </c>
      <c r="DM348">
        <v>3</v>
      </c>
      <c r="DN348">
        <v>0</v>
      </c>
      <c r="DO348">
        <v>0</v>
      </c>
      <c r="DP348">
        <v>4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16</v>
      </c>
      <c r="DW348">
        <v>73</v>
      </c>
      <c r="DX348">
        <v>1</v>
      </c>
      <c r="DY348">
        <v>0</v>
      </c>
      <c r="DZ348">
        <v>0</v>
      </c>
      <c r="EA348">
        <v>0</v>
      </c>
      <c r="EB348">
        <v>0</v>
      </c>
      <c r="EC348">
        <v>70</v>
      </c>
      <c r="ED348">
        <v>0</v>
      </c>
      <c r="EE348">
        <v>0</v>
      </c>
      <c r="EF348">
        <v>0</v>
      </c>
      <c r="EG348">
        <v>2</v>
      </c>
      <c r="EH348">
        <v>73</v>
      </c>
      <c r="EI348">
        <v>2</v>
      </c>
      <c r="EJ348">
        <v>1</v>
      </c>
      <c r="EK348">
        <v>1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2</v>
      </c>
      <c r="ES348">
        <v>11</v>
      </c>
      <c r="ET348">
        <v>0</v>
      </c>
      <c r="EU348">
        <v>11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11</v>
      </c>
      <c r="FE348">
        <v>5</v>
      </c>
      <c r="FF348">
        <v>2</v>
      </c>
      <c r="FG348">
        <v>0</v>
      </c>
      <c r="FH348">
        <v>0</v>
      </c>
      <c r="FI348">
        <v>2</v>
      </c>
      <c r="FJ348">
        <v>0</v>
      </c>
      <c r="FK348">
        <v>1</v>
      </c>
      <c r="FL348">
        <v>0</v>
      </c>
      <c r="FM348">
        <v>0</v>
      </c>
      <c r="FN348">
        <v>0</v>
      </c>
      <c r="FO348">
        <v>0</v>
      </c>
      <c r="FP348">
        <v>5</v>
      </c>
    </row>
    <row r="349" spans="1:172" ht="14.25">
      <c r="A349">
        <v>344</v>
      </c>
      <c r="B349" t="str">
        <f>"101604"</f>
        <v>101604</v>
      </c>
      <c r="C349" t="str">
        <f>"Czerniewice"</f>
        <v>Czerniewice</v>
      </c>
      <c r="D349" t="str">
        <f t="shared" si="63"/>
        <v>tomaszowski</v>
      </c>
      <c r="E349" t="str">
        <f t="shared" si="62"/>
        <v>łódzkie</v>
      </c>
      <c r="F349">
        <v>2</v>
      </c>
      <c r="G349" t="str">
        <f>"Publiczna Szkoła Podstawowa w Lipiu, Lipie 45, 97-216 Czerniewice"</f>
        <v>Publiczna Szkoła Podstawowa w Lipiu, Lipie 45, 97-216 Czerniewice</v>
      </c>
      <c r="H349">
        <v>1152</v>
      </c>
      <c r="I349">
        <v>1152</v>
      </c>
      <c r="J349">
        <v>0</v>
      </c>
      <c r="K349">
        <v>810</v>
      </c>
      <c r="L349">
        <v>617</v>
      </c>
      <c r="M349">
        <v>193</v>
      </c>
      <c r="N349">
        <v>193</v>
      </c>
      <c r="O349">
        <v>0</v>
      </c>
      <c r="P349">
        <v>0</v>
      </c>
      <c r="Q349">
        <v>3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193</v>
      </c>
      <c r="Z349">
        <v>0</v>
      </c>
      <c r="AA349">
        <v>0</v>
      </c>
      <c r="AB349">
        <v>193</v>
      </c>
      <c r="AC349">
        <v>8</v>
      </c>
      <c r="AD349">
        <v>185</v>
      </c>
      <c r="AE349">
        <v>2</v>
      </c>
      <c r="AF349">
        <v>2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2</v>
      </c>
      <c r="AQ349">
        <v>1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1</v>
      </c>
      <c r="AY349">
        <v>0</v>
      </c>
      <c r="AZ349">
        <v>0</v>
      </c>
      <c r="BA349">
        <v>0</v>
      </c>
      <c r="BB349">
        <v>1</v>
      </c>
      <c r="BC349">
        <v>2</v>
      </c>
      <c r="BD349">
        <v>2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2</v>
      </c>
      <c r="BO349">
        <v>93</v>
      </c>
      <c r="BP349">
        <v>86</v>
      </c>
      <c r="BQ349">
        <v>1</v>
      </c>
      <c r="BR349">
        <v>0</v>
      </c>
      <c r="BS349">
        <v>0</v>
      </c>
      <c r="BT349">
        <v>0</v>
      </c>
      <c r="BU349">
        <v>1</v>
      </c>
      <c r="BV349">
        <v>1</v>
      </c>
      <c r="BW349">
        <v>2</v>
      </c>
      <c r="BX349">
        <v>1</v>
      </c>
      <c r="BY349">
        <v>1</v>
      </c>
      <c r="BZ349">
        <v>93</v>
      </c>
      <c r="CA349">
        <v>3</v>
      </c>
      <c r="CB349">
        <v>0</v>
      </c>
      <c r="CC349">
        <v>1</v>
      </c>
      <c r="CD349">
        <v>2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3</v>
      </c>
      <c r="CM349">
        <v>4</v>
      </c>
      <c r="CN349">
        <v>1</v>
      </c>
      <c r="CO349">
        <v>0</v>
      </c>
      <c r="CP349">
        <v>0</v>
      </c>
      <c r="CQ349">
        <v>0</v>
      </c>
      <c r="CR349">
        <v>0</v>
      </c>
      <c r="CS349">
        <v>2</v>
      </c>
      <c r="CT349">
        <v>0</v>
      </c>
      <c r="CU349">
        <v>1</v>
      </c>
      <c r="CV349">
        <v>0</v>
      </c>
      <c r="CW349">
        <v>0</v>
      </c>
      <c r="CX349">
        <v>4</v>
      </c>
      <c r="CY349">
        <v>8</v>
      </c>
      <c r="CZ349">
        <v>5</v>
      </c>
      <c r="DA349">
        <v>0</v>
      </c>
      <c r="DB349">
        <v>1</v>
      </c>
      <c r="DC349">
        <v>0</v>
      </c>
      <c r="DD349">
        <v>1</v>
      </c>
      <c r="DE349">
        <v>0</v>
      </c>
      <c r="DF349">
        <v>1</v>
      </c>
      <c r="DG349">
        <v>0</v>
      </c>
      <c r="DH349">
        <v>0</v>
      </c>
      <c r="DI349">
        <v>0</v>
      </c>
      <c r="DJ349">
        <v>8</v>
      </c>
      <c r="DK349">
        <v>5</v>
      </c>
      <c r="DL349">
        <v>4</v>
      </c>
      <c r="DM349">
        <v>1</v>
      </c>
      <c r="DN349">
        <v>0</v>
      </c>
      <c r="DO349">
        <v>0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0</v>
      </c>
      <c r="DV349">
        <v>5</v>
      </c>
      <c r="DW349">
        <v>49</v>
      </c>
      <c r="DX349">
        <v>0</v>
      </c>
      <c r="DY349">
        <v>1</v>
      </c>
      <c r="DZ349">
        <v>0</v>
      </c>
      <c r="EA349">
        <v>0</v>
      </c>
      <c r="EB349">
        <v>0</v>
      </c>
      <c r="EC349">
        <v>45</v>
      </c>
      <c r="ED349">
        <v>0</v>
      </c>
      <c r="EE349">
        <v>0</v>
      </c>
      <c r="EF349">
        <v>0</v>
      </c>
      <c r="EG349">
        <v>3</v>
      </c>
      <c r="EH349">
        <v>49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18</v>
      </c>
      <c r="ET349">
        <v>0</v>
      </c>
      <c r="EU349">
        <v>18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18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</row>
    <row r="350" spans="1:172" ht="14.25">
      <c r="A350">
        <v>345</v>
      </c>
      <c r="B350" t="str">
        <f>"101604"</f>
        <v>101604</v>
      </c>
      <c r="C350" t="str">
        <f>"Czerniewice"</f>
        <v>Czerniewice</v>
      </c>
      <c r="D350" t="str">
        <f t="shared" si="63"/>
        <v>tomaszowski</v>
      </c>
      <c r="E350" t="str">
        <f t="shared" si="62"/>
        <v>łódzkie</v>
      </c>
      <c r="F350">
        <v>3</v>
      </c>
      <c r="G350" t="str">
        <f>"Świetlica Środowiskowa w Podkonicach Dużych, Podkonice Duże 13A, 97-216 Czerniewice"</f>
        <v>Świetlica Środowiskowa w Podkonicach Dużych, Podkonice Duże 13A, 97-216 Czerniewice</v>
      </c>
      <c r="H350">
        <v>902</v>
      </c>
      <c r="I350">
        <v>902</v>
      </c>
      <c r="J350">
        <v>0</v>
      </c>
      <c r="K350">
        <v>630</v>
      </c>
      <c r="L350">
        <v>417</v>
      </c>
      <c r="M350">
        <v>213</v>
      </c>
      <c r="N350">
        <v>213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213</v>
      </c>
      <c r="Z350">
        <v>0</v>
      </c>
      <c r="AA350">
        <v>0</v>
      </c>
      <c r="AB350">
        <v>213</v>
      </c>
      <c r="AC350">
        <v>9</v>
      </c>
      <c r="AD350">
        <v>204</v>
      </c>
      <c r="AE350">
        <v>7</v>
      </c>
      <c r="AF350">
        <v>4</v>
      </c>
      <c r="AG350">
        <v>2</v>
      </c>
      <c r="AH350">
        <v>1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7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3</v>
      </c>
      <c r="BD350">
        <v>1</v>
      </c>
      <c r="BE350">
        <v>0</v>
      </c>
      <c r="BF350">
        <v>0</v>
      </c>
      <c r="BG350">
        <v>0</v>
      </c>
      <c r="BH350">
        <v>1</v>
      </c>
      <c r="BI350">
        <v>0</v>
      </c>
      <c r="BJ350">
        <v>0</v>
      </c>
      <c r="BK350">
        <v>0</v>
      </c>
      <c r="BL350">
        <v>1</v>
      </c>
      <c r="BM350">
        <v>0</v>
      </c>
      <c r="BN350">
        <v>3</v>
      </c>
      <c r="BO350">
        <v>67</v>
      </c>
      <c r="BP350">
        <v>59</v>
      </c>
      <c r="BQ350">
        <v>0</v>
      </c>
      <c r="BR350">
        <v>2</v>
      </c>
      <c r="BS350">
        <v>0</v>
      </c>
      <c r="BT350">
        <v>2</v>
      </c>
      <c r="BU350">
        <v>1</v>
      </c>
      <c r="BV350">
        <v>0</v>
      </c>
      <c r="BW350">
        <v>3</v>
      </c>
      <c r="BX350">
        <v>0</v>
      </c>
      <c r="BY350">
        <v>0</v>
      </c>
      <c r="BZ350">
        <v>67</v>
      </c>
      <c r="CA350">
        <v>1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1</v>
      </c>
      <c r="CI350">
        <v>0</v>
      </c>
      <c r="CJ350">
        <v>0</v>
      </c>
      <c r="CK350">
        <v>0</v>
      </c>
      <c r="CL350">
        <v>1</v>
      </c>
      <c r="CM350">
        <v>1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1</v>
      </c>
      <c r="CY350">
        <v>10</v>
      </c>
      <c r="CZ350">
        <v>4</v>
      </c>
      <c r="DA350">
        <v>3</v>
      </c>
      <c r="DB350">
        <v>1</v>
      </c>
      <c r="DC350">
        <v>1</v>
      </c>
      <c r="DD350">
        <v>0</v>
      </c>
      <c r="DE350">
        <v>0</v>
      </c>
      <c r="DF350">
        <v>0</v>
      </c>
      <c r="DG350">
        <v>1</v>
      </c>
      <c r="DH350">
        <v>0</v>
      </c>
      <c r="DI350">
        <v>0</v>
      </c>
      <c r="DJ350">
        <v>10</v>
      </c>
      <c r="DK350">
        <v>12</v>
      </c>
      <c r="DL350">
        <v>8</v>
      </c>
      <c r="DM350">
        <v>1</v>
      </c>
      <c r="DN350">
        <v>1</v>
      </c>
      <c r="DO350">
        <v>0</v>
      </c>
      <c r="DP350">
        <v>0</v>
      </c>
      <c r="DQ350">
        <v>0</v>
      </c>
      <c r="DR350">
        <v>0</v>
      </c>
      <c r="DS350">
        <v>2</v>
      </c>
      <c r="DT350">
        <v>0</v>
      </c>
      <c r="DU350">
        <v>0</v>
      </c>
      <c r="DV350">
        <v>12</v>
      </c>
      <c r="DW350">
        <v>72</v>
      </c>
      <c r="DX350">
        <v>2</v>
      </c>
      <c r="DY350">
        <v>1</v>
      </c>
      <c r="DZ350">
        <v>0</v>
      </c>
      <c r="EA350">
        <v>0</v>
      </c>
      <c r="EB350">
        <v>1</v>
      </c>
      <c r="EC350">
        <v>60</v>
      </c>
      <c r="ED350">
        <v>0</v>
      </c>
      <c r="EE350">
        <v>0</v>
      </c>
      <c r="EF350">
        <v>0</v>
      </c>
      <c r="EG350">
        <v>8</v>
      </c>
      <c r="EH350">
        <v>72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30</v>
      </c>
      <c r="ET350">
        <v>0</v>
      </c>
      <c r="EU350">
        <v>30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30</v>
      </c>
      <c r="FE350">
        <v>1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1</v>
      </c>
      <c r="FP350">
        <v>1</v>
      </c>
    </row>
    <row r="351" spans="1:172" ht="14.25">
      <c r="A351">
        <v>346</v>
      </c>
      <c r="B351" t="str">
        <f>"101604"</f>
        <v>101604</v>
      </c>
      <c r="C351" t="str">
        <f>"Czerniewice"</f>
        <v>Czerniewice</v>
      </c>
      <c r="D351" t="str">
        <f t="shared" si="63"/>
        <v>tomaszowski</v>
      </c>
      <c r="E351" t="str">
        <f t="shared" si="62"/>
        <v>łódzkie</v>
      </c>
      <c r="F351">
        <v>4</v>
      </c>
      <c r="G351" t="str">
        <f>"Urząd Gminy w Czerniewicach, ul. Mazowiecka 42, 97-216 Czerniewice"</f>
        <v>Urząd Gminy w Czerniewicach, ul. Mazowiecka 42, 97-216 Czerniewice</v>
      </c>
      <c r="H351">
        <v>1039</v>
      </c>
      <c r="I351">
        <v>1039</v>
      </c>
      <c r="J351">
        <v>0</v>
      </c>
      <c r="K351">
        <v>740</v>
      </c>
      <c r="L351">
        <v>526</v>
      </c>
      <c r="M351">
        <v>214</v>
      </c>
      <c r="N351">
        <v>214</v>
      </c>
      <c r="O351">
        <v>0</v>
      </c>
      <c r="P351">
        <v>0</v>
      </c>
      <c r="Q351">
        <v>1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214</v>
      </c>
      <c r="Z351">
        <v>0</v>
      </c>
      <c r="AA351">
        <v>0</v>
      </c>
      <c r="AB351">
        <v>214</v>
      </c>
      <c r="AC351">
        <v>10</v>
      </c>
      <c r="AD351">
        <v>204</v>
      </c>
      <c r="AE351">
        <v>2</v>
      </c>
      <c r="AF351">
        <v>1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1</v>
      </c>
      <c r="AN351">
        <v>0</v>
      </c>
      <c r="AO351">
        <v>0</v>
      </c>
      <c r="AP351">
        <v>2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7</v>
      </c>
      <c r="BD351">
        <v>2</v>
      </c>
      <c r="BE351">
        <v>0</v>
      </c>
      <c r="BF351">
        <v>0</v>
      </c>
      <c r="BG351">
        <v>0</v>
      </c>
      <c r="BH351">
        <v>1</v>
      </c>
      <c r="BI351">
        <v>2</v>
      </c>
      <c r="BJ351">
        <v>0</v>
      </c>
      <c r="BK351">
        <v>0</v>
      </c>
      <c r="BL351">
        <v>1</v>
      </c>
      <c r="BM351">
        <v>1</v>
      </c>
      <c r="BN351">
        <v>7</v>
      </c>
      <c r="BO351">
        <v>88</v>
      </c>
      <c r="BP351">
        <v>75</v>
      </c>
      <c r="BQ351">
        <v>5</v>
      </c>
      <c r="BR351">
        <v>0</v>
      </c>
      <c r="BS351">
        <v>3</v>
      </c>
      <c r="BT351">
        <v>0</v>
      </c>
      <c r="BU351">
        <v>1</v>
      </c>
      <c r="BV351">
        <v>1</v>
      </c>
      <c r="BW351">
        <v>3</v>
      </c>
      <c r="BX351">
        <v>0</v>
      </c>
      <c r="BY351">
        <v>0</v>
      </c>
      <c r="BZ351">
        <v>88</v>
      </c>
      <c r="CA351">
        <v>5</v>
      </c>
      <c r="CB351">
        <v>2</v>
      </c>
      <c r="CC351">
        <v>0</v>
      </c>
      <c r="CD351">
        <v>1</v>
      </c>
      <c r="CE351">
        <v>1</v>
      </c>
      <c r="CF351">
        <v>0</v>
      </c>
      <c r="CG351">
        <v>0</v>
      </c>
      <c r="CH351">
        <v>0</v>
      </c>
      <c r="CI351">
        <v>1</v>
      </c>
      <c r="CJ351">
        <v>0</v>
      </c>
      <c r="CK351">
        <v>0</v>
      </c>
      <c r="CL351">
        <v>5</v>
      </c>
      <c r="CM351">
        <v>2</v>
      </c>
      <c r="CN351">
        <v>0</v>
      </c>
      <c r="CO351">
        <v>0</v>
      </c>
      <c r="CP351">
        <v>0</v>
      </c>
      <c r="CQ351">
        <v>0</v>
      </c>
      <c r="CR351">
        <v>1</v>
      </c>
      <c r="CS351">
        <v>0</v>
      </c>
      <c r="CT351">
        <v>1</v>
      </c>
      <c r="CU351">
        <v>0</v>
      </c>
      <c r="CV351">
        <v>0</v>
      </c>
      <c r="CW351">
        <v>0</v>
      </c>
      <c r="CX351">
        <v>2</v>
      </c>
      <c r="CY351">
        <v>4</v>
      </c>
      <c r="CZ351">
        <v>4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4</v>
      </c>
      <c r="DK351">
        <v>17</v>
      </c>
      <c r="DL351">
        <v>10</v>
      </c>
      <c r="DM351">
        <v>2</v>
      </c>
      <c r="DN351">
        <v>0</v>
      </c>
      <c r="DO351">
        <v>0</v>
      </c>
      <c r="DP351">
        <v>4</v>
      </c>
      <c r="DQ351">
        <v>0</v>
      </c>
      <c r="DR351">
        <v>0</v>
      </c>
      <c r="DS351">
        <v>0</v>
      </c>
      <c r="DT351">
        <v>1</v>
      </c>
      <c r="DU351">
        <v>0</v>
      </c>
      <c r="DV351">
        <v>17</v>
      </c>
      <c r="DW351">
        <v>74</v>
      </c>
      <c r="DX351">
        <v>1</v>
      </c>
      <c r="DY351">
        <v>3</v>
      </c>
      <c r="DZ351">
        <v>0</v>
      </c>
      <c r="EA351">
        <v>0</v>
      </c>
      <c r="EB351">
        <v>1</v>
      </c>
      <c r="EC351">
        <v>64</v>
      </c>
      <c r="ED351">
        <v>0</v>
      </c>
      <c r="EE351">
        <v>0</v>
      </c>
      <c r="EF351">
        <v>0</v>
      </c>
      <c r="EG351">
        <v>5</v>
      </c>
      <c r="EH351">
        <v>74</v>
      </c>
      <c r="EI351">
        <v>2</v>
      </c>
      <c r="EJ351">
        <v>0</v>
      </c>
      <c r="EK351">
        <v>2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2</v>
      </c>
      <c r="ES351">
        <v>3</v>
      </c>
      <c r="ET351">
        <v>0</v>
      </c>
      <c r="EU351">
        <v>3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3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</row>
    <row r="352" spans="1:172" ht="14.25">
      <c r="A352">
        <v>347</v>
      </c>
      <c r="B352" t="str">
        <f>"101605"</f>
        <v>101605</v>
      </c>
      <c r="C352" t="str">
        <f>"Inowłódz"</f>
        <v>Inowłódz</v>
      </c>
      <c r="D352" t="str">
        <f t="shared" si="63"/>
        <v>tomaszowski</v>
      </c>
      <c r="E352" t="str">
        <f t="shared" si="62"/>
        <v>łódzkie</v>
      </c>
      <c r="F352">
        <v>1</v>
      </c>
      <c r="G352" t="str">
        <f>"Sala Posiedzeń Rady Gminy Inowłódz, ul. Spalska 2, 97-215 Inowłódz"</f>
        <v>Sala Posiedzeń Rady Gminy Inowłódz, ul. Spalska 2, 97-215 Inowłódz</v>
      </c>
      <c r="H352">
        <v>1273</v>
      </c>
      <c r="I352">
        <v>1273</v>
      </c>
      <c r="J352">
        <v>0</v>
      </c>
      <c r="K352">
        <v>880</v>
      </c>
      <c r="L352">
        <v>539</v>
      </c>
      <c r="M352">
        <v>341</v>
      </c>
      <c r="N352">
        <v>341</v>
      </c>
      <c r="O352">
        <v>0</v>
      </c>
      <c r="P352">
        <v>0</v>
      </c>
      <c r="Q352">
        <v>14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341</v>
      </c>
      <c r="Z352">
        <v>0</v>
      </c>
      <c r="AA352">
        <v>0</v>
      </c>
      <c r="AB352">
        <v>341</v>
      </c>
      <c r="AC352">
        <v>9</v>
      </c>
      <c r="AD352">
        <v>332</v>
      </c>
      <c r="AE352">
        <v>4</v>
      </c>
      <c r="AF352">
        <v>3</v>
      </c>
      <c r="AG352">
        <v>0</v>
      </c>
      <c r="AH352">
        <v>1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4</v>
      </c>
      <c r="AQ352">
        <v>7</v>
      </c>
      <c r="AR352">
        <v>4</v>
      </c>
      <c r="AS352">
        <v>1</v>
      </c>
      <c r="AT352">
        <v>0</v>
      </c>
      <c r="AU352">
        <v>0</v>
      </c>
      <c r="AV352">
        <v>1</v>
      </c>
      <c r="AW352">
        <v>1</v>
      </c>
      <c r="AX352">
        <v>0</v>
      </c>
      <c r="AY352">
        <v>0</v>
      </c>
      <c r="AZ352">
        <v>0</v>
      </c>
      <c r="BA352">
        <v>0</v>
      </c>
      <c r="BB352">
        <v>7</v>
      </c>
      <c r="BC352">
        <v>23</v>
      </c>
      <c r="BD352">
        <v>14</v>
      </c>
      <c r="BE352">
        <v>3</v>
      </c>
      <c r="BF352">
        <v>1</v>
      </c>
      <c r="BG352">
        <v>1</v>
      </c>
      <c r="BH352">
        <v>0</v>
      </c>
      <c r="BI352">
        <v>2</v>
      </c>
      <c r="BJ352">
        <v>2</v>
      </c>
      <c r="BK352">
        <v>0</v>
      </c>
      <c r="BL352">
        <v>0</v>
      </c>
      <c r="BM352">
        <v>0</v>
      </c>
      <c r="BN352">
        <v>23</v>
      </c>
      <c r="BO352">
        <v>157</v>
      </c>
      <c r="BP352">
        <v>139</v>
      </c>
      <c r="BQ352">
        <v>0</v>
      </c>
      <c r="BR352">
        <v>2</v>
      </c>
      <c r="BS352">
        <v>3</v>
      </c>
      <c r="BT352">
        <v>0</v>
      </c>
      <c r="BU352">
        <v>10</v>
      </c>
      <c r="BV352">
        <v>1</v>
      </c>
      <c r="BW352">
        <v>1</v>
      </c>
      <c r="BX352">
        <v>1</v>
      </c>
      <c r="BY352">
        <v>0</v>
      </c>
      <c r="BZ352">
        <v>157</v>
      </c>
      <c r="CA352">
        <v>6</v>
      </c>
      <c r="CB352">
        <v>0</v>
      </c>
      <c r="CC352">
        <v>2</v>
      </c>
      <c r="CD352">
        <v>3</v>
      </c>
      <c r="CE352">
        <v>1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6</v>
      </c>
      <c r="CM352">
        <v>13</v>
      </c>
      <c r="CN352">
        <v>4</v>
      </c>
      <c r="CO352">
        <v>9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13</v>
      </c>
      <c r="CY352">
        <v>17</v>
      </c>
      <c r="CZ352">
        <v>9</v>
      </c>
      <c r="DA352">
        <v>3</v>
      </c>
      <c r="DB352">
        <v>2</v>
      </c>
      <c r="DC352">
        <v>1</v>
      </c>
      <c r="DD352">
        <v>1</v>
      </c>
      <c r="DE352">
        <v>0</v>
      </c>
      <c r="DF352">
        <v>0</v>
      </c>
      <c r="DG352">
        <v>1</v>
      </c>
      <c r="DH352">
        <v>0</v>
      </c>
      <c r="DI352">
        <v>0</v>
      </c>
      <c r="DJ352">
        <v>17</v>
      </c>
      <c r="DK352">
        <v>72</v>
      </c>
      <c r="DL352">
        <v>44</v>
      </c>
      <c r="DM352">
        <v>13</v>
      </c>
      <c r="DN352">
        <v>3</v>
      </c>
      <c r="DO352">
        <v>1</v>
      </c>
      <c r="DP352">
        <v>10</v>
      </c>
      <c r="DQ352">
        <v>1</v>
      </c>
      <c r="DR352">
        <v>0</v>
      </c>
      <c r="DS352">
        <v>0</v>
      </c>
      <c r="DT352">
        <v>0</v>
      </c>
      <c r="DU352">
        <v>0</v>
      </c>
      <c r="DV352">
        <v>72</v>
      </c>
      <c r="DW352">
        <v>30</v>
      </c>
      <c r="DX352">
        <v>1</v>
      </c>
      <c r="DY352">
        <v>17</v>
      </c>
      <c r="DZ352">
        <v>0</v>
      </c>
      <c r="EA352">
        <v>0</v>
      </c>
      <c r="EB352">
        <v>0</v>
      </c>
      <c r="EC352">
        <v>10</v>
      </c>
      <c r="ED352">
        <v>0</v>
      </c>
      <c r="EE352">
        <v>0</v>
      </c>
      <c r="EF352">
        <v>0</v>
      </c>
      <c r="EG352">
        <v>2</v>
      </c>
      <c r="EH352">
        <v>30</v>
      </c>
      <c r="EI352">
        <v>1</v>
      </c>
      <c r="EJ352">
        <v>0</v>
      </c>
      <c r="EK352">
        <v>0</v>
      </c>
      <c r="EL352">
        <v>0</v>
      </c>
      <c r="EM352">
        <v>0</v>
      </c>
      <c r="EN352">
        <v>1</v>
      </c>
      <c r="EO352">
        <v>0</v>
      </c>
      <c r="EP352">
        <v>0</v>
      </c>
      <c r="EQ352">
        <v>0</v>
      </c>
      <c r="ER352">
        <v>1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2</v>
      </c>
      <c r="FF352">
        <v>0</v>
      </c>
      <c r="FG352">
        <v>1</v>
      </c>
      <c r="FH352">
        <v>0</v>
      </c>
      <c r="FI352">
        <v>0</v>
      </c>
      <c r="FJ352">
        <v>0</v>
      </c>
      <c r="FK352">
        <v>0</v>
      </c>
      <c r="FL352">
        <v>1</v>
      </c>
      <c r="FM352">
        <v>0</v>
      </c>
      <c r="FN352">
        <v>0</v>
      </c>
      <c r="FO352">
        <v>0</v>
      </c>
      <c r="FP352">
        <v>2</v>
      </c>
    </row>
    <row r="353" spans="1:172" ht="14.25">
      <c r="A353">
        <v>348</v>
      </c>
      <c r="B353" t="str">
        <f>"101605"</f>
        <v>101605</v>
      </c>
      <c r="C353" t="str">
        <f>"Inowłódz"</f>
        <v>Inowłódz</v>
      </c>
      <c r="D353" t="str">
        <f t="shared" si="63"/>
        <v>tomaszowski</v>
      </c>
      <c r="E353" t="str">
        <f t="shared" si="62"/>
        <v>łódzkie</v>
      </c>
      <c r="F353">
        <v>2</v>
      </c>
      <c r="G353" t="str">
        <f>"Szkoła Podstawowa w Królowej Woli, Królowa Wola 77, 97-215 Inowłódz"</f>
        <v>Szkoła Podstawowa w Królowej Woli, Królowa Wola 77, 97-215 Inowłódz</v>
      </c>
      <c r="H353">
        <v>655</v>
      </c>
      <c r="I353">
        <v>655</v>
      </c>
      <c r="J353">
        <v>0</v>
      </c>
      <c r="K353">
        <v>460</v>
      </c>
      <c r="L353">
        <v>314</v>
      </c>
      <c r="M353">
        <v>146</v>
      </c>
      <c r="N353">
        <v>146</v>
      </c>
      <c r="O353">
        <v>0</v>
      </c>
      <c r="P353">
        <v>0</v>
      </c>
      <c r="Q353">
        <v>1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146</v>
      </c>
      <c r="Z353">
        <v>0</v>
      </c>
      <c r="AA353">
        <v>0</v>
      </c>
      <c r="AB353">
        <v>146</v>
      </c>
      <c r="AC353">
        <v>5</v>
      </c>
      <c r="AD353">
        <v>141</v>
      </c>
      <c r="AE353">
        <v>2</v>
      </c>
      <c r="AF353">
        <v>1</v>
      </c>
      <c r="AG353">
        <v>0</v>
      </c>
      <c r="AH353">
        <v>0</v>
      </c>
      <c r="AI353">
        <v>0</v>
      </c>
      <c r="AJ353">
        <v>1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2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16</v>
      </c>
      <c r="BD353">
        <v>6</v>
      </c>
      <c r="BE353">
        <v>0</v>
      </c>
      <c r="BF353">
        <v>1</v>
      </c>
      <c r="BG353">
        <v>0</v>
      </c>
      <c r="BH353">
        <v>6</v>
      </c>
      <c r="BI353">
        <v>2</v>
      </c>
      <c r="BJ353">
        <v>0</v>
      </c>
      <c r="BK353">
        <v>0</v>
      </c>
      <c r="BL353">
        <v>0</v>
      </c>
      <c r="BM353">
        <v>1</v>
      </c>
      <c r="BN353">
        <v>16</v>
      </c>
      <c r="BO353">
        <v>73</v>
      </c>
      <c r="BP353">
        <v>66</v>
      </c>
      <c r="BQ353">
        <v>1</v>
      </c>
      <c r="BR353">
        <v>1</v>
      </c>
      <c r="BS353">
        <v>0</v>
      </c>
      <c r="BT353">
        <v>0</v>
      </c>
      <c r="BU353">
        <v>3</v>
      </c>
      <c r="BV353">
        <v>0</v>
      </c>
      <c r="BW353">
        <v>0</v>
      </c>
      <c r="BX353">
        <v>0</v>
      </c>
      <c r="BY353">
        <v>2</v>
      </c>
      <c r="BZ353">
        <v>73</v>
      </c>
      <c r="CA353">
        <v>7</v>
      </c>
      <c r="CB353">
        <v>0</v>
      </c>
      <c r="CC353">
        <v>2</v>
      </c>
      <c r="CD353">
        <v>5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7</v>
      </c>
      <c r="CM353">
        <v>1</v>
      </c>
      <c r="CN353">
        <v>0</v>
      </c>
      <c r="CO353">
        <v>1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1</v>
      </c>
      <c r="CY353">
        <v>2</v>
      </c>
      <c r="CZ353">
        <v>2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2</v>
      </c>
      <c r="DK353">
        <v>30</v>
      </c>
      <c r="DL353">
        <v>10</v>
      </c>
      <c r="DM353">
        <v>7</v>
      </c>
      <c r="DN353">
        <v>2</v>
      </c>
      <c r="DO353">
        <v>0</v>
      </c>
      <c r="DP353">
        <v>11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30</v>
      </c>
      <c r="DW353">
        <v>10</v>
      </c>
      <c r="DX353">
        <v>2</v>
      </c>
      <c r="DY353">
        <v>6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1</v>
      </c>
      <c r="EF353">
        <v>0</v>
      </c>
      <c r="EG353">
        <v>1</v>
      </c>
      <c r="EH353">
        <v>10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0</v>
      </c>
      <c r="FO353">
        <v>0</v>
      </c>
      <c r="FP353">
        <v>0</v>
      </c>
    </row>
    <row r="354" spans="1:172" ht="14.25">
      <c r="A354">
        <v>349</v>
      </c>
      <c r="B354" t="str">
        <f>"101605"</f>
        <v>101605</v>
      </c>
      <c r="C354" t="str">
        <f>"Inowłódz"</f>
        <v>Inowłódz</v>
      </c>
      <c r="D354" t="str">
        <f t="shared" si="63"/>
        <v>tomaszowski</v>
      </c>
      <c r="E354" t="str">
        <f t="shared" si="62"/>
        <v>łódzkie</v>
      </c>
      <c r="F354">
        <v>3</v>
      </c>
      <c r="G354" t="str">
        <f>"Szkoła Podstawowa w Brzustowie, Brzustów 1, 97-215 Inowłódz"</f>
        <v>Szkoła Podstawowa w Brzustowie, Brzustów 1, 97-215 Inowłódz</v>
      </c>
      <c r="H354">
        <v>730</v>
      </c>
      <c r="I354">
        <v>730</v>
      </c>
      <c r="J354">
        <v>0</v>
      </c>
      <c r="K354">
        <v>510</v>
      </c>
      <c r="L354">
        <v>377</v>
      </c>
      <c r="M354">
        <v>133</v>
      </c>
      <c r="N354">
        <v>133</v>
      </c>
      <c r="O354">
        <v>0</v>
      </c>
      <c r="P354">
        <v>0</v>
      </c>
      <c r="Q354">
        <v>2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133</v>
      </c>
      <c r="Z354">
        <v>0</v>
      </c>
      <c r="AA354">
        <v>0</v>
      </c>
      <c r="AB354">
        <v>133</v>
      </c>
      <c r="AC354">
        <v>6</v>
      </c>
      <c r="AD354">
        <v>127</v>
      </c>
      <c r="AE354">
        <v>3</v>
      </c>
      <c r="AF354">
        <v>0</v>
      </c>
      <c r="AG354">
        <v>2</v>
      </c>
      <c r="AH354">
        <v>0</v>
      </c>
      <c r="AI354">
        <v>0</v>
      </c>
      <c r="AJ354">
        <v>0</v>
      </c>
      <c r="AK354">
        <v>0</v>
      </c>
      <c r="AL354">
        <v>1</v>
      </c>
      <c r="AM354">
        <v>0</v>
      </c>
      <c r="AN354">
        <v>0</v>
      </c>
      <c r="AO354">
        <v>0</v>
      </c>
      <c r="AP354">
        <v>3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6</v>
      </c>
      <c r="BD354">
        <v>2</v>
      </c>
      <c r="BE354">
        <v>4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6</v>
      </c>
      <c r="BO354">
        <v>72</v>
      </c>
      <c r="BP354">
        <v>62</v>
      </c>
      <c r="BQ354">
        <v>2</v>
      </c>
      <c r="BR354">
        <v>0</v>
      </c>
      <c r="BS354">
        <v>0</v>
      </c>
      <c r="BT354">
        <v>0</v>
      </c>
      <c r="BU354">
        <v>6</v>
      </c>
      <c r="BV354">
        <v>0</v>
      </c>
      <c r="BW354">
        <v>2</v>
      </c>
      <c r="BX354">
        <v>0</v>
      </c>
      <c r="BY354">
        <v>0</v>
      </c>
      <c r="BZ354">
        <v>72</v>
      </c>
      <c r="CA354">
        <v>2</v>
      </c>
      <c r="CB354">
        <v>1</v>
      </c>
      <c r="CC354">
        <v>0</v>
      </c>
      <c r="CD354">
        <v>1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2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9</v>
      </c>
      <c r="CZ354">
        <v>5</v>
      </c>
      <c r="DA354">
        <v>2</v>
      </c>
      <c r="DB354">
        <v>0</v>
      </c>
      <c r="DC354">
        <v>0</v>
      </c>
      <c r="DD354">
        <v>0</v>
      </c>
      <c r="DE354">
        <v>1</v>
      </c>
      <c r="DF354">
        <v>1</v>
      </c>
      <c r="DG354">
        <v>0</v>
      </c>
      <c r="DH354">
        <v>0</v>
      </c>
      <c r="DI354">
        <v>0</v>
      </c>
      <c r="DJ354">
        <v>9</v>
      </c>
      <c r="DK354">
        <v>25</v>
      </c>
      <c r="DL354">
        <v>4</v>
      </c>
      <c r="DM354">
        <v>0</v>
      </c>
      <c r="DN354">
        <v>0</v>
      </c>
      <c r="DO354">
        <v>0</v>
      </c>
      <c r="DP354">
        <v>21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25</v>
      </c>
      <c r="DW354">
        <v>9</v>
      </c>
      <c r="DX354">
        <v>0</v>
      </c>
      <c r="DY354">
        <v>2</v>
      </c>
      <c r="DZ354">
        <v>0</v>
      </c>
      <c r="EA354">
        <v>0</v>
      </c>
      <c r="EB354">
        <v>0</v>
      </c>
      <c r="EC354">
        <v>3</v>
      </c>
      <c r="ED354">
        <v>0</v>
      </c>
      <c r="EE354">
        <v>2</v>
      </c>
      <c r="EF354">
        <v>0</v>
      </c>
      <c r="EG354">
        <v>2</v>
      </c>
      <c r="EH354">
        <v>9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1</v>
      </c>
      <c r="FF354">
        <v>0</v>
      </c>
      <c r="FG354">
        <v>1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0</v>
      </c>
      <c r="FN354">
        <v>0</v>
      </c>
      <c r="FO354">
        <v>0</v>
      </c>
      <c r="FP354">
        <v>1</v>
      </c>
    </row>
    <row r="355" spans="1:172" ht="14.25">
      <c r="A355">
        <v>350</v>
      </c>
      <c r="B355" t="str">
        <f>"101605"</f>
        <v>101605</v>
      </c>
      <c r="C355" t="str">
        <f>"Inowłódz"</f>
        <v>Inowłódz</v>
      </c>
      <c r="D355" t="str">
        <f t="shared" si="63"/>
        <v>tomaszowski</v>
      </c>
      <c r="E355" t="str">
        <f t="shared" si="62"/>
        <v>łódzkie</v>
      </c>
      <c r="F355">
        <v>4</v>
      </c>
      <c r="G355" t="str">
        <f>"Świetlica Środowiskowa w Spale, ul. Wojciechowskiego 9, Spała, 97-215 Inowłódz"</f>
        <v>Świetlica Środowiskowa w Spale, ul. Wojciechowskiego 9, Spała, 97-215 Inowłódz</v>
      </c>
      <c r="H355">
        <v>608</v>
      </c>
      <c r="I355">
        <v>608</v>
      </c>
      <c r="J355">
        <v>0</v>
      </c>
      <c r="K355">
        <v>420</v>
      </c>
      <c r="L355">
        <v>263</v>
      </c>
      <c r="M355">
        <v>157</v>
      </c>
      <c r="N355">
        <v>157</v>
      </c>
      <c r="O355">
        <v>0</v>
      </c>
      <c r="P355">
        <v>0</v>
      </c>
      <c r="Q355">
        <v>6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157</v>
      </c>
      <c r="Z355">
        <v>0</v>
      </c>
      <c r="AA355">
        <v>0</v>
      </c>
      <c r="AB355">
        <v>157</v>
      </c>
      <c r="AC355">
        <v>3</v>
      </c>
      <c r="AD355">
        <v>154</v>
      </c>
      <c r="AE355">
        <v>2</v>
      </c>
      <c r="AF355">
        <v>2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2</v>
      </c>
      <c r="AQ355">
        <v>6</v>
      </c>
      <c r="AR355">
        <v>4</v>
      </c>
      <c r="AS355">
        <v>0</v>
      </c>
      <c r="AT355">
        <v>0</v>
      </c>
      <c r="AU355">
        <v>0</v>
      </c>
      <c r="AV355">
        <v>2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6</v>
      </c>
      <c r="BC355">
        <v>8</v>
      </c>
      <c r="BD355">
        <v>6</v>
      </c>
      <c r="BE355">
        <v>1</v>
      </c>
      <c r="BF355">
        <v>0</v>
      </c>
      <c r="BG355">
        <v>0</v>
      </c>
      <c r="BH355">
        <v>1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8</v>
      </c>
      <c r="BO355">
        <v>53</v>
      </c>
      <c r="BP355">
        <v>38</v>
      </c>
      <c r="BQ355">
        <v>0</v>
      </c>
      <c r="BR355">
        <v>1</v>
      </c>
      <c r="BS355">
        <v>2</v>
      </c>
      <c r="BT355">
        <v>1</v>
      </c>
      <c r="BU355">
        <v>8</v>
      </c>
      <c r="BV355">
        <v>1</v>
      </c>
      <c r="BW355">
        <v>2</v>
      </c>
      <c r="BX355">
        <v>0</v>
      </c>
      <c r="BY355">
        <v>0</v>
      </c>
      <c r="BZ355">
        <v>53</v>
      </c>
      <c r="CA355">
        <v>2</v>
      </c>
      <c r="CB355">
        <v>1</v>
      </c>
      <c r="CC355">
        <v>0</v>
      </c>
      <c r="CD355">
        <v>1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2</v>
      </c>
      <c r="CM355">
        <v>2</v>
      </c>
      <c r="CN355">
        <v>2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2</v>
      </c>
      <c r="CY355">
        <v>10</v>
      </c>
      <c r="CZ355">
        <v>7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1</v>
      </c>
      <c r="DG355">
        <v>0</v>
      </c>
      <c r="DH355">
        <v>1</v>
      </c>
      <c r="DI355">
        <v>1</v>
      </c>
      <c r="DJ355">
        <v>10</v>
      </c>
      <c r="DK355">
        <v>64</v>
      </c>
      <c r="DL355">
        <v>31</v>
      </c>
      <c r="DM355">
        <v>12</v>
      </c>
      <c r="DN355">
        <v>0</v>
      </c>
      <c r="DO355">
        <v>0</v>
      </c>
      <c r="DP355">
        <v>18</v>
      </c>
      <c r="DQ355">
        <v>0</v>
      </c>
      <c r="DR355">
        <v>1</v>
      </c>
      <c r="DS355">
        <v>1</v>
      </c>
      <c r="DT355">
        <v>0</v>
      </c>
      <c r="DU355">
        <v>1</v>
      </c>
      <c r="DV355">
        <v>64</v>
      </c>
      <c r="DW355">
        <v>5</v>
      </c>
      <c r="DX355">
        <v>0</v>
      </c>
      <c r="DY355">
        <v>0</v>
      </c>
      <c r="DZ355">
        <v>0</v>
      </c>
      <c r="EA355">
        <v>0</v>
      </c>
      <c r="EB355">
        <v>2</v>
      </c>
      <c r="EC355">
        <v>1</v>
      </c>
      <c r="ED355">
        <v>0</v>
      </c>
      <c r="EE355">
        <v>0</v>
      </c>
      <c r="EF355">
        <v>0</v>
      </c>
      <c r="EG355">
        <v>2</v>
      </c>
      <c r="EH355">
        <v>5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2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2</v>
      </c>
      <c r="FP355">
        <v>2</v>
      </c>
    </row>
    <row r="356" spans="1:172" ht="14.25">
      <c r="A356">
        <v>351</v>
      </c>
      <c r="B356" t="str">
        <f aca="true" t="shared" si="64" ref="B356:B362">"101606"</f>
        <v>101606</v>
      </c>
      <c r="C356" t="str">
        <f aca="true" t="shared" si="65" ref="C356:C362">"Lubochnia"</f>
        <v>Lubochnia</v>
      </c>
      <c r="D356" t="str">
        <f t="shared" si="63"/>
        <v>tomaszowski</v>
      </c>
      <c r="E356" t="str">
        <f t="shared" si="62"/>
        <v>łódzkie</v>
      </c>
      <c r="F356">
        <v>1</v>
      </c>
      <c r="G356" t="str">
        <f>"Zespół Szkolno-Przedszkolny, ul. Łódzka 19, 97-217 Lubochnia"</f>
        <v>Zespół Szkolno-Przedszkolny, ul. Łódzka 19, 97-217 Lubochnia</v>
      </c>
      <c r="H356">
        <v>1049</v>
      </c>
      <c r="I356">
        <v>1049</v>
      </c>
      <c r="J356">
        <v>0</v>
      </c>
      <c r="K356">
        <v>730</v>
      </c>
      <c r="L356">
        <v>479</v>
      </c>
      <c r="M356">
        <v>251</v>
      </c>
      <c r="N356">
        <v>251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251</v>
      </c>
      <c r="Z356">
        <v>0</v>
      </c>
      <c r="AA356">
        <v>0</v>
      </c>
      <c r="AB356">
        <v>251</v>
      </c>
      <c r="AC356">
        <v>12</v>
      </c>
      <c r="AD356">
        <v>239</v>
      </c>
      <c r="AE356">
        <v>1</v>
      </c>
      <c r="AF356">
        <v>1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1</v>
      </c>
      <c r="AQ356">
        <v>4</v>
      </c>
      <c r="AR356">
        <v>2</v>
      </c>
      <c r="AS356">
        <v>0</v>
      </c>
      <c r="AT356">
        <v>0</v>
      </c>
      <c r="AU356">
        <v>0</v>
      </c>
      <c r="AV356">
        <v>1</v>
      </c>
      <c r="AW356">
        <v>0</v>
      </c>
      <c r="AX356">
        <v>1</v>
      </c>
      <c r="AY356">
        <v>0</v>
      </c>
      <c r="AZ356">
        <v>0</v>
      </c>
      <c r="BA356">
        <v>0</v>
      </c>
      <c r="BB356">
        <v>4</v>
      </c>
      <c r="BC356">
        <v>5</v>
      </c>
      <c r="BD356">
        <v>3</v>
      </c>
      <c r="BE356">
        <v>1</v>
      </c>
      <c r="BF356">
        <v>0</v>
      </c>
      <c r="BG356">
        <v>0</v>
      </c>
      <c r="BH356">
        <v>0</v>
      </c>
      <c r="BI356">
        <v>0</v>
      </c>
      <c r="BJ356">
        <v>1</v>
      </c>
      <c r="BK356">
        <v>0</v>
      </c>
      <c r="BL356">
        <v>0</v>
      </c>
      <c r="BM356">
        <v>0</v>
      </c>
      <c r="BN356">
        <v>5</v>
      </c>
      <c r="BO356">
        <v>164</v>
      </c>
      <c r="BP356">
        <v>120</v>
      </c>
      <c r="BQ356">
        <v>6</v>
      </c>
      <c r="BR356">
        <v>3</v>
      </c>
      <c r="BS356">
        <v>4</v>
      </c>
      <c r="BT356">
        <v>0</v>
      </c>
      <c r="BU356">
        <v>26</v>
      </c>
      <c r="BV356">
        <v>0</v>
      </c>
      <c r="BW356">
        <v>4</v>
      </c>
      <c r="BX356">
        <v>1</v>
      </c>
      <c r="BY356">
        <v>0</v>
      </c>
      <c r="BZ356">
        <v>164</v>
      </c>
      <c r="CA356">
        <v>2</v>
      </c>
      <c r="CB356">
        <v>0</v>
      </c>
      <c r="CC356">
        <v>0</v>
      </c>
      <c r="CD356">
        <v>2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2</v>
      </c>
      <c r="CM356">
        <v>4</v>
      </c>
      <c r="CN356">
        <v>0</v>
      </c>
      <c r="CO356">
        <v>1</v>
      </c>
      <c r="CP356">
        <v>0</v>
      </c>
      <c r="CQ356">
        <v>0</v>
      </c>
      <c r="CR356">
        <v>3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4</v>
      </c>
      <c r="CY356">
        <v>13</v>
      </c>
      <c r="CZ356">
        <v>10</v>
      </c>
      <c r="DA356">
        <v>1</v>
      </c>
      <c r="DB356">
        <v>0</v>
      </c>
      <c r="DC356">
        <v>0</v>
      </c>
      <c r="DD356">
        <v>0</v>
      </c>
      <c r="DE356">
        <v>1</v>
      </c>
      <c r="DF356">
        <v>1</v>
      </c>
      <c r="DG356">
        <v>0</v>
      </c>
      <c r="DH356">
        <v>0</v>
      </c>
      <c r="DI356">
        <v>0</v>
      </c>
      <c r="DJ356">
        <v>13</v>
      </c>
      <c r="DK356">
        <v>13</v>
      </c>
      <c r="DL356">
        <v>6</v>
      </c>
      <c r="DM356">
        <v>3</v>
      </c>
      <c r="DN356">
        <v>0</v>
      </c>
      <c r="DO356">
        <v>0</v>
      </c>
      <c r="DP356">
        <v>3</v>
      </c>
      <c r="DQ356">
        <v>0</v>
      </c>
      <c r="DR356">
        <v>1</v>
      </c>
      <c r="DS356">
        <v>0</v>
      </c>
      <c r="DT356">
        <v>0</v>
      </c>
      <c r="DU356">
        <v>0</v>
      </c>
      <c r="DV356">
        <v>13</v>
      </c>
      <c r="DW356">
        <v>33</v>
      </c>
      <c r="DX356">
        <v>0</v>
      </c>
      <c r="DY356">
        <v>4</v>
      </c>
      <c r="DZ356">
        <v>0</v>
      </c>
      <c r="EA356">
        <v>0</v>
      </c>
      <c r="EB356">
        <v>0</v>
      </c>
      <c r="EC356">
        <v>29</v>
      </c>
      <c r="ED356">
        <v>0</v>
      </c>
      <c r="EE356">
        <v>0</v>
      </c>
      <c r="EF356">
        <v>0</v>
      </c>
      <c r="EG356">
        <v>0</v>
      </c>
      <c r="EH356">
        <v>33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0</v>
      </c>
      <c r="FO356">
        <v>0</v>
      </c>
      <c r="FP356">
        <v>0</v>
      </c>
    </row>
    <row r="357" spans="1:172" ht="14.25">
      <c r="A357">
        <v>352</v>
      </c>
      <c r="B357" t="str">
        <f t="shared" si="64"/>
        <v>101606</v>
      </c>
      <c r="C357" t="str">
        <f t="shared" si="65"/>
        <v>Lubochnia</v>
      </c>
      <c r="D357" t="str">
        <f t="shared" si="63"/>
        <v>tomaszowski</v>
      </c>
      <c r="E357" t="str">
        <f t="shared" si="62"/>
        <v>łódzkie</v>
      </c>
      <c r="F357">
        <v>2</v>
      </c>
      <c r="G357" t="str">
        <f>"Publiczne Gimnazjum w Lubochni, ul. Łódzka 19, 97-217 Lubochnia"</f>
        <v>Publiczne Gimnazjum w Lubochni, ul. Łódzka 19, 97-217 Lubochnia</v>
      </c>
      <c r="H357">
        <v>756</v>
      </c>
      <c r="I357">
        <v>756</v>
      </c>
      <c r="J357">
        <v>0</v>
      </c>
      <c r="K357">
        <v>530</v>
      </c>
      <c r="L357">
        <v>370</v>
      </c>
      <c r="M357">
        <v>158</v>
      </c>
      <c r="N357">
        <v>158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160</v>
      </c>
      <c r="Z357">
        <v>0</v>
      </c>
      <c r="AA357">
        <v>0</v>
      </c>
      <c r="AB357">
        <v>160</v>
      </c>
      <c r="AC357">
        <v>9</v>
      </c>
      <c r="AD357">
        <v>151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4</v>
      </c>
      <c r="BD357">
        <v>2</v>
      </c>
      <c r="BE357">
        <v>2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4</v>
      </c>
      <c r="BO357">
        <v>101</v>
      </c>
      <c r="BP357">
        <v>71</v>
      </c>
      <c r="BQ357">
        <v>3</v>
      </c>
      <c r="BR357">
        <v>1</v>
      </c>
      <c r="BS357">
        <v>4</v>
      </c>
      <c r="BT357">
        <v>0</v>
      </c>
      <c r="BU357">
        <v>16</v>
      </c>
      <c r="BV357">
        <v>0</v>
      </c>
      <c r="BW357">
        <v>3</v>
      </c>
      <c r="BX357">
        <v>3</v>
      </c>
      <c r="BY357">
        <v>0</v>
      </c>
      <c r="BZ357">
        <v>101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2</v>
      </c>
      <c r="CN357">
        <v>0</v>
      </c>
      <c r="CO357">
        <v>1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1</v>
      </c>
      <c r="CX357">
        <v>2</v>
      </c>
      <c r="CY357">
        <v>10</v>
      </c>
      <c r="CZ357">
        <v>8</v>
      </c>
      <c r="DA357">
        <v>0</v>
      </c>
      <c r="DB357">
        <v>0</v>
      </c>
      <c r="DC357">
        <v>1</v>
      </c>
      <c r="DD357">
        <v>0</v>
      </c>
      <c r="DE357">
        <v>0</v>
      </c>
      <c r="DF357">
        <v>1</v>
      </c>
      <c r="DG357">
        <v>0</v>
      </c>
      <c r="DH357">
        <v>0</v>
      </c>
      <c r="DI357">
        <v>0</v>
      </c>
      <c r="DJ357">
        <v>10</v>
      </c>
      <c r="DK357">
        <v>5</v>
      </c>
      <c r="DL357">
        <v>1</v>
      </c>
      <c r="DM357">
        <v>4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5</v>
      </c>
      <c r="DW357">
        <v>27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23</v>
      </c>
      <c r="ED357">
        <v>0</v>
      </c>
      <c r="EE357">
        <v>0</v>
      </c>
      <c r="EF357">
        <v>0</v>
      </c>
      <c r="EG357">
        <v>4</v>
      </c>
      <c r="EH357">
        <v>27</v>
      </c>
      <c r="EI357">
        <v>2</v>
      </c>
      <c r="EJ357">
        <v>0</v>
      </c>
      <c r="EK357">
        <v>1</v>
      </c>
      <c r="EL357">
        <v>0</v>
      </c>
      <c r="EM357">
        <v>0</v>
      </c>
      <c r="EN357">
        <v>0</v>
      </c>
      <c r="EO357">
        <v>1</v>
      </c>
      <c r="EP357">
        <v>0</v>
      </c>
      <c r="EQ357">
        <v>0</v>
      </c>
      <c r="ER357">
        <v>2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</row>
    <row r="358" spans="1:172" ht="14.25">
      <c r="A358">
        <v>353</v>
      </c>
      <c r="B358" t="str">
        <f t="shared" si="64"/>
        <v>101606</v>
      </c>
      <c r="C358" t="str">
        <f t="shared" si="65"/>
        <v>Lubochnia</v>
      </c>
      <c r="D358" t="str">
        <f t="shared" si="63"/>
        <v>tomaszowski</v>
      </c>
      <c r="E358" t="str">
        <f t="shared" si="62"/>
        <v>łódzkie</v>
      </c>
      <c r="F358">
        <v>3</v>
      </c>
      <c r="G358" t="str">
        <f>"Publiczna Szkoła Podstawowa w Glinniku, Glinnik 48A, 97-217 Lubochnia"</f>
        <v>Publiczna Szkoła Podstawowa w Glinniku, Glinnik 48A, 97-217 Lubochnia</v>
      </c>
      <c r="H358">
        <v>811</v>
      </c>
      <c r="I358">
        <v>811</v>
      </c>
      <c r="J358">
        <v>0</v>
      </c>
      <c r="K358">
        <v>570</v>
      </c>
      <c r="L358">
        <v>420</v>
      </c>
      <c r="M358">
        <v>150</v>
      </c>
      <c r="N358">
        <v>150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150</v>
      </c>
      <c r="Z358">
        <v>0</v>
      </c>
      <c r="AA358">
        <v>0</v>
      </c>
      <c r="AB358">
        <v>150</v>
      </c>
      <c r="AC358">
        <v>16</v>
      </c>
      <c r="AD358">
        <v>134</v>
      </c>
      <c r="AE358">
        <v>3</v>
      </c>
      <c r="AF358">
        <v>1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v>0</v>
      </c>
      <c r="AM358">
        <v>1</v>
      </c>
      <c r="AN358">
        <v>0</v>
      </c>
      <c r="AO358">
        <v>0</v>
      </c>
      <c r="AP358">
        <v>3</v>
      </c>
      <c r="AQ358">
        <v>1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1</v>
      </c>
      <c r="BB358">
        <v>1</v>
      </c>
      <c r="BC358">
        <v>3</v>
      </c>
      <c r="BD358">
        <v>1</v>
      </c>
      <c r="BE358">
        <v>0</v>
      </c>
      <c r="BF358">
        <v>0</v>
      </c>
      <c r="BG358">
        <v>1</v>
      </c>
      <c r="BH358">
        <v>0</v>
      </c>
      <c r="BI358">
        <v>1</v>
      </c>
      <c r="BJ358">
        <v>0</v>
      </c>
      <c r="BK358">
        <v>0</v>
      </c>
      <c r="BL358">
        <v>0</v>
      </c>
      <c r="BM358">
        <v>0</v>
      </c>
      <c r="BN358">
        <v>3</v>
      </c>
      <c r="BO358">
        <v>66</v>
      </c>
      <c r="BP358">
        <v>56</v>
      </c>
      <c r="BQ358">
        <v>2</v>
      </c>
      <c r="BR358">
        <v>0</v>
      </c>
      <c r="BS358">
        <v>1</v>
      </c>
      <c r="BT358">
        <v>0</v>
      </c>
      <c r="BU358">
        <v>7</v>
      </c>
      <c r="BV358">
        <v>0</v>
      </c>
      <c r="BW358">
        <v>0</v>
      </c>
      <c r="BX358">
        <v>0</v>
      </c>
      <c r="BY358">
        <v>0</v>
      </c>
      <c r="BZ358">
        <v>66</v>
      </c>
      <c r="CA358">
        <v>2</v>
      </c>
      <c r="CB358">
        <v>0</v>
      </c>
      <c r="CC358">
        <v>0</v>
      </c>
      <c r="CD358">
        <v>2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2</v>
      </c>
      <c r="CM358">
        <v>5</v>
      </c>
      <c r="CN358">
        <v>0</v>
      </c>
      <c r="CO358">
        <v>2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3</v>
      </c>
      <c r="CV358">
        <v>0</v>
      </c>
      <c r="CW358">
        <v>0</v>
      </c>
      <c r="CX358">
        <v>5</v>
      </c>
      <c r="CY358">
        <v>11</v>
      </c>
      <c r="CZ358">
        <v>3</v>
      </c>
      <c r="DA358">
        <v>2</v>
      </c>
      <c r="DB358">
        <v>0</v>
      </c>
      <c r="DC358">
        <v>1</v>
      </c>
      <c r="DD358">
        <v>1</v>
      </c>
      <c r="DE358">
        <v>0</v>
      </c>
      <c r="DF358">
        <v>1</v>
      </c>
      <c r="DG358">
        <v>0</v>
      </c>
      <c r="DH358">
        <v>0</v>
      </c>
      <c r="DI358">
        <v>3</v>
      </c>
      <c r="DJ358">
        <v>11</v>
      </c>
      <c r="DK358">
        <v>17</v>
      </c>
      <c r="DL358">
        <v>12</v>
      </c>
      <c r="DM358">
        <v>1</v>
      </c>
      <c r="DN358">
        <v>0</v>
      </c>
      <c r="DO358">
        <v>0</v>
      </c>
      <c r="DP358">
        <v>3</v>
      </c>
      <c r="DQ358">
        <v>0</v>
      </c>
      <c r="DR358">
        <v>0</v>
      </c>
      <c r="DS358">
        <v>1</v>
      </c>
      <c r="DT358">
        <v>0</v>
      </c>
      <c r="DU358">
        <v>0</v>
      </c>
      <c r="DV358">
        <v>17</v>
      </c>
      <c r="DW358">
        <v>26</v>
      </c>
      <c r="DX358">
        <v>0</v>
      </c>
      <c r="DY358">
        <v>4</v>
      </c>
      <c r="DZ358">
        <v>0</v>
      </c>
      <c r="EA358">
        <v>0</v>
      </c>
      <c r="EB358">
        <v>2</v>
      </c>
      <c r="EC358">
        <v>19</v>
      </c>
      <c r="ED358">
        <v>0</v>
      </c>
      <c r="EE358">
        <v>0</v>
      </c>
      <c r="EF358">
        <v>0</v>
      </c>
      <c r="EG358">
        <v>1</v>
      </c>
      <c r="EH358">
        <v>26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</row>
    <row r="359" spans="1:172" ht="14.25">
      <c r="A359">
        <v>354</v>
      </c>
      <c r="B359" t="str">
        <f t="shared" si="64"/>
        <v>101606</v>
      </c>
      <c r="C359" t="str">
        <f t="shared" si="65"/>
        <v>Lubochnia</v>
      </c>
      <c r="D359" t="str">
        <f t="shared" si="63"/>
        <v>tomaszowski</v>
      </c>
      <c r="E359" t="str">
        <f t="shared" si="62"/>
        <v>łódzkie</v>
      </c>
      <c r="F359">
        <v>4</v>
      </c>
      <c r="G359" t="str">
        <f>"Budynek po byłej szkole w Nowym Jasieniu, Nowy Jasień 6, 97-217 Lubochnia"</f>
        <v>Budynek po byłej szkole w Nowym Jasieniu, Nowy Jasień 6, 97-217 Lubochnia</v>
      </c>
      <c r="H359">
        <v>494</v>
      </c>
      <c r="I359">
        <v>494</v>
      </c>
      <c r="J359">
        <v>0</v>
      </c>
      <c r="K359">
        <v>350</v>
      </c>
      <c r="L359">
        <v>245</v>
      </c>
      <c r="M359">
        <v>105</v>
      </c>
      <c r="N359">
        <v>105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105</v>
      </c>
      <c r="Z359">
        <v>0</v>
      </c>
      <c r="AA359">
        <v>0</v>
      </c>
      <c r="AB359">
        <v>105</v>
      </c>
      <c r="AC359">
        <v>1</v>
      </c>
      <c r="AD359">
        <v>104</v>
      </c>
      <c r="AE359">
        <v>3</v>
      </c>
      <c r="AF359">
        <v>0</v>
      </c>
      <c r="AG359">
        <v>1</v>
      </c>
      <c r="AH359">
        <v>0</v>
      </c>
      <c r="AI359">
        <v>0</v>
      </c>
      <c r="AJ359">
        <v>0</v>
      </c>
      <c r="AK359">
        <v>2</v>
      </c>
      <c r="AL359">
        <v>0</v>
      </c>
      <c r="AM359">
        <v>0</v>
      </c>
      <c r="AN359">
        <v>0</v>
      </c>
      <c r="AO359">
        <v>0</v>
      </c>
      <c r="AP359">
        <v>3</v>
      </c>
      <c r="AQ359">
        <v>3</v>
      </c>
      <c r="AR359">
        <v>2</v>
      </c>
      <c r="AS359">
        <v>1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3</v>
      </c>
      <c r="BC359">
        <v>1</v>
      </c>
      <c r="BD359">
        <v>0</v>
      </c>
      <c r="BE359">
        <v>0</v>
      </c>
      <c r="BF359">
        <v>1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1</v>
      </c>
      <c r="BO359">
        <v>77</v>
      </c>
      <c r="BP359">
        <v>67</v>
      </c>
      <c r="BQ359">
        <v>0</v>
      </c>
      <c r="BR359">
        <v>0</v>
      </c>
      <c r="BS359">
        <v>0</v>
      </c>
      <c r="BT359">
        <v>0</v>
      </c>
      <c r="BU359">
        <v>5</v>
      </c>
      <c r="BV359">
        <v>1</v>
      </c>
      <c r="BW359">
        <v>0</v>
      </c>
      <c r="BX359">
        <v>0</v>
      </c>
      <c r="BY359">
        <v>4</v>
      </c>
      <c r="BZ359">
        <v>77</v>
      </c>
      <c r="CA359">
        <v>2</v>
      </c>
      <c r="CB359">
        <v>0</v>
      </c>
      <c r="CC359">
        <v>0</v>
      </c>
      <c r="CD359">
        <v>2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2</v>
      </c>
      <c r="CM359">
        <v>1</v>
      </c>
      <c r="CN359">
        <v>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1</v>
      </c>
      <c r="CY359">
        <v>3</v>
      </c>
      <c r="CZ359">
        <v>1</v>
      </c>
      <c r="DA359">
        <v>0</v>
      </c>
      <c r="DB359">
        <v>1</v>
      </c>
      <c r="DC359">
        <v>0</v>
      </c>
      <c r="DD359">
        <v>0</v>
      </c>
      <c r="DE359">
        <v>0</v>
      </c>
      <c r="DF359">
        <v>1</v>
      </c>
      <c r="DG359">
        <v>0</v>
      </c>
      <c r="DH359">
        <v>0</v>
      </c>
      <c r="DI359">
        <v>0</v>
      </c>
      <c r="DJ359">
        <v>3</v>
      </c>
      <c r="DK359">
        <v>5</v>
      </c>
      <c r="DL359">
        <v>4</v>
      </c>
      <c r="DM359">
        <v>0</v>
      </c>
      <c r="DN359">
        <v>0</v>
      </c>
      <c r="DO359">
        <v>0</v>
      </c>
      <c r="DP359">
        <v>1</v>
      </c>
      <c r="DQ359">
        <v>0</v>
      </c>
      <c r="DR359">
        <v>0</v>
      </c>
      <c r="DS359">
        <v>0</v>
      </c>
      <c r="DT359">
        <v>0</v>
      </c>
      <c r="DU359">
        <v>0</v>
      </c>
      <c r="DV359">
        <v>5</v>
      </c>
      <c r="DW359">
        <v>9</v>
      </c>
      <c r="DX359">
        <v>0</v>
      </c>
      <c r="DY359">
        <v>3</v>
      </c>
      <c r="DZ359">
        <v>0</v>
      </c>
      <c r="EA359">
        <v>0</v>
      </c>
      <c r="EB359">
        <v>0</v>
      </c>
      <c r="EC359">
        <v>5</v>
      </c>
      <c r="ED359">
        <v>0</v>
      </c>
      <c r="EE359">
        <v>0</v>
      </c>
      <c r="EF359">
        <v>0</v>
      </c>
      <c r="EG359">
        <v>1</v>
      </c>
      <c r="EH359">
        <v>9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0</v>
      </c>
      <c r="FP359">
        <v>0</v>
      </c>
    </row>
    <row r="360" spans="1:172" ht="14.25">
      <c r="A360">
        <v>355</v>
      </c>
      <c r="B360" t="str">
        <f t="shared" si="64"/>
        <v>101606</v>
      </c>
      <c r="C360" t="str">
        <f t="shared" si="65"/>
        <v>Lubochnia</v>
      </c>
      <c r="D360" t="str">
        <f t="shared" si="63"/>
        <v>tomaszowski</v>
      </c>
      <c r="E360" t="str">
        <f t="shared" si="62"/>
        <v>łódzkie</v>
      </c>
      <c r="F360">
        <v>5</v>
      </c>
      <c r="G360" t="str">
        <f>"Świetlica Środowiskowa w Tarnowskiej Woli, Tarnowska Wola 5, 97-217 Lubochnia"</f>
        <v>Świetlica Środowiskowa w Tarnowskiej Woli, Tarnowska Wola 5, 97-217 Lubochnia</v>
      </c>
      <c r="H360">
        <v>358</v>
      </c>
      <c r="I360">
        <v>358</v>
      </c>
      <c r="J360">
        <v>0</v>
      </c>
      <c r="K360">
        <v>250</v>
      </c>
      <c r="L360">
        <v>178</v>
      </c>
      <c r="M360">
        <v>72</v>
      </c>
      <c r="N360">
        <v>72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72</v>
      </c>
      <c r="Z360">
        <v>0</v>
      </c>
      <c r="AA360">
        <v>0</v>
      </c>
      <c r="AB360">
        <v>72</v>
      </c>
      <c r="AC360">
        <v>4</v>
      </c>
      <c r="AD360">
        <v>68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2</v>
      </c>
      <c r="BD360">
        <v>0</v>
      </c>
      <c r="BE360">
        <v>0</v>
      </c>
      <c r="BF360">
        <v>2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2</v>
      </c>
      <c r="BO360">
        <v>34</v>
      </c>
      <c r="BP360">
        <v>33</v>
      </c>
      <c r="BQ360">
        <v>0</v>
      </c>
      <c r="BR360">
        <v>0</v>
      </c>
      <c r="BS360">
        <v>0</v>
      </c>
      <c r="BT360">
        <v>0</v>
      </c>
      <c r="BU360">
        <v>1</v>
      </c>
      <c r="BV360">
        <v>0</v>
      </c>
      <c r="BW360">
        <v>0</v>
      </c>
      <c r="BX360">
        <v>0</v>
      </c>
      <c r="BY360">
        <v>0</v>
      </c>
      <c r="BZ360">
        <v>34</v>
      </c>
      <c r="CA360">
        <v>1</v>
      </c>
      <c r="CB360">
        <v>0</v>
      </c>
      <c r="CC360">
        <v>1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1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1</v>
      </c>
      <c r="CZ360">
        <v>1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1</v>
      </c>
      <c r="DK360">
        <v>3</v>
      </c>
      <c r="DL360">
        <v>2</v>
      </c>
      <c r="DM360">
        <v>0</v>
      </c>
      <c r="DN360">
        <v>0</v>
      </c>
      <c r="DO360">
        <v>0</v>
      </c>
      <c r="DP360">
        <v>1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3</v>
      </c>
      <c r="DW360">
        <v>27</v>
      </c>
      <c r="DX360">
        <v>0</v>
      </c>
      <c r="DY360">
        <v>1</v>
      </c>
      <c r="DZ360">
        <v>0</v>
      </c>
      <c r="EA360">
        <v>0</v>
      </c>
      <c r="EB360">
        <v>0</v>
      </c>
      <c r="EC360">
        <v>24</v>
      </c>
      <c r="ED360">
        <v>0</v>
      </c>
      <c r="EE360">
        <v>0</v>
      </c>
      <c r="EF360">
        <v>1</v>
      </c>
      <c r="EG360">
        <v>1</v>
      </c>
      <c r="EH360">
        <v>27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0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0</v>
      </c>
      <c r="FO360">
        <v>0</v>
      </c>
      <c r="FP360">
        <v>0</v>
      </c>
    </row>
    <row r="361" spans="1:172" ht="14.25">
      <c r="A361">
        <v>356</v>
      </c>
      <c r="B361" t="str">
        <f t="shared" si="64"/>
        <v>101606</v>
      </c>
      <c r="C361" t="str">
        <f t="shared" si="65"/>
        <v>Lubochnia</v>
      </c>
      <c r="D361" t="str">
        <f t="shared" si="63"/>
        <v>tomaszowski</v>
      </c>
      <c r="E361" t="str">
        <f t="shared" si="62"/>
        <v>łódzkie</v>
      </c>
      <c r="F361">
        <v>6</v>
      </c>
      <c r="G361" t="str">
        <f>"Klub Garnizonowy, Nowy Glinnik 6G, 97-217 Lubochnia"</f>
        <v>Klub Garnizonowy, Nowy Glinnik 6G, 97-217 Lubochnia</v>
      </c>
      <c r="H361">
        <v>933</v>
      </c>
      <c r="I361">
        <v>933</v>
      </c>
      <c r="J361">
        <v>0</v>
      </c>
      <c r="K361">
        <v>660</v>
      </c>
      <c r="L361">
        <v>466</v>
      </c>
      <c r="M361">
        <v>194</v>
      </c>
      <c r="N361">
        <v>194</v>
      </c>
      <c r="O361">
        <v>0</v>
      </c>
      <c r="P361">
        <v>0</v>
      </c>
      <c r="Q361">
        <v>1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194</v>
      </c>
      <c r="Z361">
        <v>0</v>
      </c>
      <c r="AA361">
        <v>0</v>
      </c>
      <c r="AB361">
        <v>194</v>
      </c>
      <c r="AC361">
        <v>2</v>
      </c>
      <c r="AD361">
        <v>192</v>
      </c>
      <c r="AE361">
        <v>4</v>
      </c>
      <c r="AF361">
        <v>0</v>
      </c>
      <c r="AG361">
        <v>3</v>
      </c>
      <c r="AH361">
        <v>0</v>
      </c>
      <c r="AI361">
        <v>0</v>
      </c>
      <c r="AJ361">
        <v>1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4</v>
      </c>
      <c r="AQ361">
        <v>5</v>
      </c>
      <c r="AR361">
        <v>3</v>
      </c>
      <c r="AS361">
        <v>0</v>
      </c>
      <c r="AT361">
        <v>0</v>
      </c>
      <c r="AU361">
        <v>0</v>
      </c>
      <c r="AV361">
        <v>0</v>
      </c>
      <c r="AW361">
        <v>1</v>
      </c>
      <c r="AX361">
        <v>0</v>
      </c>
      <c r="AY361">
        <v>0</v>
      </c>
      <c r="AZ361">
        <v>1</v>
      </c>
      <c r="BA361">
        <v>0</v>
      </c>
      <c r="BB361">
        <v>5</v>
      </c>
      <c r="BC361">
        <v>18</v>
      </c>
      <c r="BD361">
        <v>9</v>
      </c>
      <c r="BE361">
        <v>2</v>
      </c>
      <c r="BF361">
        <v>0</v>
      </c>
      <c r="BG361">
        <v>2</v>
      </c>
      <c r="BH361">
        <v>0</v>
      </c>
      <c r="BI361">
        <v>1</v>
      </c>
      <c r="BJ361">
        <v>0</v>
      </c>
      <c r="BK361">
        <v>0</v>
      </c>
      <c r="BL361">
        <v>2</v>
      </c>
      <c r="BM361">
        <v>2</v>
      </c>
      <c r="BN361">
        <v>18</v>
      </c>
      <c r="BO361">
        <v>74</v>
      </c>
      <c r="BP361">
        <v>55</v>
      </c>
      <c r="BQ361">
        <v>9</v>
      </c>
      <c r="BR361">
        <v>1</v>
      </c>
      <c r="BS361">
        <v>0</v>
      </c>
      <c r="BT361">
        <v>0</v>
      </c>
      <c r="BU361">
        <v>8</v>
      </c>
      <c r="BV361">
        <v>0</v>
      </c>
      <c r="BW361">
        <v>1</v>
      </c>
      <c r="BX361">
        <v>0</v>
      </c>
      <c r="BY361">
        <v>0</v>
      </c>
      <c r="BZ361">
        <v>74</v>
      </c>
      <c r="CA361">
        <v>4</v>
      </c>
      <c r="CB361">
        <v>2</v>
      </c>
      <c r="CC361">
        <v>0</v>
      </c>
      <c r="CD361">
        <v>1</v>
      </c>
      <c r="CE361">
        <v>0</v>
      </c>
      <c r="CF361">
        <v>0</v>
      </c>
      <c r="CG361">
        <v>0</v>
      </c>
      <c r="CH361">
        <v>0</v>
      </c>
      <c r="CI361">
        <v>1</v>
      </c>
      <c r="CJ361">
        <v>0</v>
      </c>
      <c r="CK361">
        <v>0</v>
      </c>
      <c r="CL361">
        <v>4</v>
      </c>
      <c r="CM361">
        <v>6</v>
      </c>
      <c r="CN361">
        <v>2</v>
      </c>
      <c r="CO361">
        <v>2</v>
      </c>
      <c r="CP361">
        <v>0</v>
      </c>
      <c r="CQ361">
        <v>1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1</v>
      </c>
      <c r="CX361">
        <v>6</v>
      </c>
      <c r="CY361">
        <v>8</v>
      </c>
      <c r="CZ361">
        <v>6</v>
      </c>
      <c r="DA361">
        <v>1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1</v>
      </c>
      <c r="DJ361">
        <v>8</v>
      </c>
      <c r="DK361">
        <v>54</v>
      </c>
      <c r="DL361">
        <v>33</v>
      </c>
      <c r="DM361">
        <v>9</v>
      </c>
      <c r="DN361">
        <v>1</v>
      </c>
      <c r="DO361">
        <v>0</v>
      </c>
      <c r="DP361">
        <v>6</v>
      </c>
      <c r="DQ361">
        <v>1</v>
      </c>
      <c r="DR361">
        <v>2</v>
      </c>
      <c r="DS361">
        <v>0</v>
      </c>
      <c r="DT361">
        <v>0</v>
      </c>
      <c r="DU361">
        <v>2</v>
      </c>
      <c r="DV361">
        <v>54</v>
      </c>
      <c r="DW361">
        <v>14</v>
      </c>
      <c r="DX361">
        <v>2</v>
      </c>
      <c r="DY361">
        <v>1</v>
      </c>
      <c r="DZ361">
        <v>0</v>
      </c>
      <c r="EA361">
        <v>0</v>
      </c>
      <c r="EB361">
        <v>5</v>
      </c>
      <c r="EC361">
        <v>5</v>
      </c>
      <c r="ED361">
        <v>0</v>
      </c>
      <c r="EE361">
        <v>0</v>
      </c>
      <c r="EF361">
        <v>0</v>
      </c>
      <c r="EG361">
        <v>1</v>
      </c>
      <c r="EH361">
        <v>14</v>
      </c>
      <c r="EI361">
        <v>2</v>
      </c>
      <c r="EJ361">
        <v>0</v>
      </c>
      <c r="EK361">
        <v>2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2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3</v>
      </c>
      <c r="FF361">
        <v>2</v>
      </c>
      <c r="FG361">
        <v>0</v>
      </c>
      <c r="FH361">
        <v>0</v>
      </c>
      <c r="FI361">
        <v>1</v>
      </c>
      <c r="FJ361">
        <v>0</v>
      </c>
      <c r="FK361">
        <v>0</v>
      </c>
      <c r="FL361">
        <v>0</v>
      </c>
      <c r="FM361">
        <v>0</v>
      </c>
      <c r="FN361">
        <v>0</v>
      </c>
      <c r="FO361">
        <v>0</v>
      </c>
      <c r="FP361">
        <v>3</v>
      </c>
    </row>
    <row r="362" spans="1:172" ht="14.25">
      <c r="A362">
        <v>357</v>
      </c>
      <c r="B362" t="str">
        <f t="shared" si="64"/>
        <v>101606</v>
      </c>
      <c r="C362" t="str">
        <f t="shared" si="65"/>
        <v>Lubochnia</v>
      </c>
      <c r="D362" t="str">
        <f t="shared" si="63"/>
        <v>tomaszowski</v>
      </c>
      <c r="E362" t="str">
        <f t="shared" si="62"/>
        <v>łódzkie</v>
      </c>
      <c r="F362">
        <v>7</v>
      </c>
      <c r="G362" t="str">
        <f>"Urząd Gminy Lubochnia, ul. Tomaszowska 9, Lubochnia, Lubochnia Dworska, 97-217 Lubochnia"</f>
        <v>Urząd Gminy Lubochnia, ul. Tomaszowska 9, Lubochnia, Lubochnia Dworska, 97-217 Lubochnia</v>
      </c>
      <c r="H362">
        <v>1133</v>
      </c>
      <c r="I362">
        <v>1133</v>
      </c>
      <c r="J362">
        <v>0</v>
      </c>
      <c r="K362">
        <v>800</v>
      </c>
      <c r="L362">
        <v>552</v>
      </c>
      <c r="M362">
        <v>248</v>
      </c>
      <c r="N362">
        <v>248</v>
      </c>
      <c r="O362">
        <v>0</v>
      </c>
      <c r="P362">
        <v>0</v>
      </c>
      <c r="Q362">
        <v>2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248</v>
      </c>
      <c r="Z362">
        <v>0</v>
      </c>
      <c r="AA362">
        <v>0</v>
      </c>
      <c r="AB362">
        <v>248</v>
      </c>
      <c r="AC362">
        <v>8</v>
      </c>
      <c r="AD362">
        <v>240</v>
      </c>
      <c r="AE362">
        <v>5</v>
      </c>
      <c r="AF362">
        <v>2</v>
      </c>
      <c r="AG362">
        <v>0</v>
      </c>
      <c r="AH362">
        <v>0</v>
      </c>
      <c r="AI362">
        <v>1</v>
      </c>
      <c r="AJ362">
        <v>0</v>
      </c>
      <c r="AK362">
        <v>0</v>
      </c>
      <c r="AL362">
        <v>0</v>
      </c>
      <c r="AM362">
        <v>0</v>
      </c>
      <c r="AN362">
        <v>1</v>
      </c>
      <c r="AO362">
        <v>1</v>
      </c>
      <c r="AP362">
        <v>5</v>
      </c>
      <c r="AQ362">
        <v>5</v>
      </c>
      <c r="AR362">
        <v>4</v>
      </c>
      <c r="AS362">
        <v>0</v>
      </c>
      <c r="AT362">
        <v>0</v>
      </c>
      <c r="AU362">
        <v>1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5</v>
      </c>
      <c r="BC362">
        <v>7</v>
      </c>
      <c r="BD362">
        <v>4</v>
      </c>
      <c r="BE362">
        <v>1</v>
      </c>
      <c r="BF362">
        <v>1</v>
      </c>
      <c r="BG362">
        <v>0</v>
      </c>
      <c r="BH362">
        <v>0</v>
      </c>
      <c r="BI362">
        <v>1</v>
      </c>
      <c r="BJ362">
        <v>0</v>
      </c>
      <c r="BK362">
        <v>0</v>
      </c>
      <c r="BL362">
        <v>0</v>
      </c>
      <c r="BM362">
        <v>0</v>
      </c>
      <c r="BN362">
        <v>7</v>
      </c>
      <c r="BO362">
        <v>145</v>
      </c>
      <c r="BP362">
        <v>132</v>
      </c>
      <c r="BQ362">
        <v>3</v>
      </c>
      <c r="BR362">
        <v>0</v>
      </c>
      <c r="BS362">
        <v>0</v>
      </c>
      <c r="BT362">
        <v>0</v>
      </c>
      <c r="BU362">
        <v>9</v>
      </c>
      <c r="BV362">
        <v>1</v>
      </c>
      <c r="BW362">
        <v>0</v>
      </c>
      <c r="BX362">
        <v>0</v>
      </c>
      <c r="BY362">
        <v>0</v>
      </c>
      <c r="BZ362">
        <v>145</v>
      </c>
      <c r="CA362">
        <v>3</v>
      </c>
      <c r="CB362">
        <v>1</v>
      </c>
      <c r="CC362">
        <v>1</v>
      </c>
      <c r="CD362">
        <v>1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3</v>
      </c>
      <c r="CM362">
        <v>5</v>
      </c>
      <c r="CN362">
        <v>3</v>
      </c>
      <c r="CO362">
        <v>2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5</v>
      </c>
      <c r="CY362">
        <v>7</v>
      </c>
      <c r="CZ362">
        <v>4</v>
      </c>
      <c r="DA362">
        <v>2</v>
      </c>
      <c r="DB362">
        <v>0</v>
      </c>
      <c r="DC362">
        <v>0</v>
      </c>
      <c r="DD362">
        <v>0</v>
      </c>
      <c r="DE362">
        <v>1</v>
      </c>
      <c r="DF362">
        <v>0</v>
      </c>
      <c r="DG362">
        <v>0</v>
      </c>
      <c r="DH362">
        <v>0</v>
      </c>
      <c r="DI362">
        <v>0</v>
      </c>
      <c r="DJ362">
        <v>7</v>
      </c>
      <c r="DK362">
        <v>25</v>
      </c>
      <c r="DL362">
        <v>12</v>
      </c>
      <c r="DM362">
        <v>7</v>
      </c>
      <c r="DN362">
        <v>0</v>
      </c>
      <c r="DO362">
        <v>0</v>
      </c>
      <c r="DP362">
        <v>5</v>
      </c>
      <c r="DQ362">
        <v>0</v>
      </c>
      <c r="DR362">
        <v>0</v>
      </c>
      <c r="DS362">
        <v>0</v>
      </c>
      <c r="DT362">
        <v>0</v>
      </c>
      <c r="DU362">
        <v>1</v>
      </c>
      <c r="DV362">
        <v>25</v>
      </c>
      <c r="DW362">
        <v>37</v>
      </c>
      <c r="DX362">
        <v>1</v>
      </c>
      <c r="DY362">
        <v>11</v>
      </c>
      <c r="DZ362">
        <v>0</v>
      </c>
      <c r="EA362">
        <v>0</v>
      </c>
      <c r="EB362">
        <v>0</v>
      </c>
      <c r="EC362">
        <v>21</v>
      </c>
      <c r="ED362">
        <v>2</v>
      </c>
      <c r="EE362">
        <v>0</v>
      </c>
      <c r="EF362">
        <v>0</v>
      </c>
      <c r="EG362">
        <v>2</v>
      </c>
      <c r="EH362">
        <v>37</v>
      </c>
      <c r="EI362">
        <v>1</v>
      </c>
      <c r="EJ362">
        <v>1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1</v>
      </c>
      <c r="ES362">
        <v>0</v>
      </c>
      <c r="ET362">
        <v>0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0</v>
      </c>
      <c r="FP362">
        <v>0</v>
      </c>
    </row>
    <row r="363" spans="1:172" ht="14.25">
      <c r="A363">
        <v>358</v>
      </c>
      <c r="B363" t="str">
        <f>"101607"</f>
        <v>101607</v>
      </c>
      <c r="C363" t="str">
        <f>"Rokiciny"</f>
        <v>Rokiciny</v>
      </c>
      <c r="D363" t="str">
        <f t="shared" si="63"/>
        <v>tomaszowski</v>
      </c>
      <c r="E363" t="str">
        <f t="shared" si="62"/>
        <v>łódzkie</v>
      </c>
      <c r="F363">
        <v>1</v>
      </c>
      <c r="G363" t="str">
        <f>"Urząd Gminy, ul. Tomaszowska 9, Rokiciny-Kolonia, 97-221 Rokiciny"</f>
        <v>Urząd Gminy, ul. Tomaszowska 9, Rokiciny-Kolonia, 97-221 Rokiciny</v>
      </c>
      <c r="H363">
        <v>2112</v>
      </c>
      <c r="I363">
        <v>2112</v>
      </c>
      <c r="J363">
        <v>0</v>
      </c>
      <c r="K363">
        <v>1470</v>
      </c>
      <c r="L363">
        <v>976</v>
      </c>
      <c r="M363">
        <v>494</v>
      </c>
      <c r="N363">
        <v>494</v>
      </c>
      <c r="O363">
        <v>0</v>
      </c>
      <c r="P363">
        <v>0</v>
      </c>
      <c r="Q363">
        <v>2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494</v>
      </c>
      <c r="Z363">
        <v>0</v>
      </c>
      <c r="AA363">
        <v>0</v>
      </c>
      <c r="AB363">
        <v>494</v>
      </c>
      <c r="AC363">
        <v>19</v>
      </c>
      <c r="AD363">
        <v>475</v>
      </c>
      <c r="AE363">
        <v>3</v>
      </c>
      <c r="AF363">
        <v>1</v>
      </c>
      <c r="AG363">
        <v>0</v>
      </c>
      <c r="AH363">
        <v>0</v>
      </c>
      <c r="AI363">
        <v>1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1</v>
      </c>
      <c r="AP363">
        <v>3</v>
      </c>
      <c r="AQ363">
        <v>4</v>
      </c>
      <c r="AR363">
        <v>3</v>
      </c>
      <c r="AS363">
        <v>0</v>
      </c>
      <c r="AT363">
        <v>0</v>
      </c>
      <c r="AU363">
        <v>0</v>
      </c>
      <c r="AV363">
        <v>1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4</v>
      </c>
      <c r="BC363">
        <v>25</v>
      </c>
      <c r="BD363">
        <v>10</v>
      </c>
      <c r="BE363">
        <v>2</v>
      </c>
      <c r="BF363">
        <v>0</v>
      </c>
      <c r="BG363">
        <v>0</v>
      </c>
      <c r="BH363">
        <v>6</v>
      </c>
      <c r="BI363">
        <v>0</v>
      </c>
      <c r="BJ363">
        <v>1</v>
      </c>
      <c r="BK363">
        <v>2</v>
      </c>
      <c r="BL363">
        <v>1</v>
      </c>
      <c r="BM363">
        <v>3</v>
      </c>
      <c r="BN363">
        <v>25</v>
      </c>
      <c r="BO363">
        <v>249</v>
      </c>
      <c r="BP363">
        <v>192</v>
      </c>
      <c r="BQ363">
        <v>16</v>
      </c>
      <c r="BR363">
        <v>22</v>
      </c>
      <c r="BS363">
        <v>2</v>
      </c>
      <c r="BT363">
        <v>1</v>
      </c>
      <c r="BU363">
        <v>5</v>
      </c>
      <c r="BV363">
        <v>1</v>
      </c>
      <c r="BW363">
        <v>4</v>
      </c>
      <c r="BX363">
        <v>1</v>
      </c>
      <c r="BY363">
        <v>5</v>
      </c>
      <c r="BZ363">
        <v>249</v>
      </c>
      <c r="CA363">
        <v>10</v>
      </c>
      <c r="CB363">
        <v>3</v>
      </c>
      <c r="CC363">
        <v>4</v>
      </c>
      <c r="CD363">
        <v>1</v>
      </c>
      <c r="CE363">
        <v>0</v>
      </c>
      <c r="CF363">
        <v>2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10</v>
      </c>
      <c r="CM363">
        <v>11</v>
      </c>
      <c r="CN363">
        <v>9</v>
      </c>
      <c r="CO363">
        <v>1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1</v>
      </c>
      <c r="CW363">
        <v>0</v>
      </c>
      <c r="CX363">
        <v>11</v>
      </c>
      <c r="CY363">
        <v>24</v>
      </c>
      <c r="CZ363">
        <v>14</v>
      </c>
      <c r="DA363">
        <v>3</v>
      </c>
      <c r="DB363">
        <v>0</v>
      </c>
      <c r="DC363">
        <v>1</v>
      </c>
      <c r="DD363">
        <v>0</v>
      </c>
      <c r="DE363">
        <v>0</v>
      </c>
      <c r="DF363">
        <v>1</v>
      </c>
      <c r="DG363">
        <v>1</v>
      </c>
      <c r="DH363">
        <v>4</v>
      </c>
      <c r="DI363">
        <v>0</v>
      </c>
      <c r="DJ363">
        <v>24</v>
      </c>
      <c r="DK363">
        <v>88</v>
      </c>
      <c r="DL363">
        <v>47</v>
      </c>
      <c r="DM363">
        <v>29</v>
      </c>
      <c r="DN363">
        <v>0</v>
      </c>
      <c r="DO363">
        <v>0</v>
      </c>
      <c r="DP363">
        <v>2</v>
      </c>
      <c r="DQ363">
        <v>0</v>
      </c>
      <c r="DR363">
        <v>1</v>
      </c>
      <c r="DS363">
        <v>2</v>
      </c>
      <c r="DT363">
        <v>2</v>
      </c>
      <c r="DU363">
        <v>5</v>
      </c>
      <c r="DV363">
        <v>88</v>
      </c>
      <c r="DW363">
        <v>59</v>
      </c>
      <c r="DX363">
        <v>3</v>
      </c>
      <c r="DY363">
        <v>31</v>
      </c>
      <c r="DZ363">
        <v>0</v>
      </c>
      <c r="EA363">
        <v>3</v>
      </c>
      <c r="EB363">
        <v>1</v>
      </c>
      <c r="EC363">
        <v>5</v>
      </c>
      <c r="ED363">
        <v>2</v>
      </c>
      <c r="EE363">
        <v>6</v>
      </c>
      <c r="EF363">
        <v>6</v>
      </c>
      <c r="EG363">
        <v>2</v>
      </c>
      <c r="EH363">
        <v>59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2</v>
      </c>
      <c r="FF363">
        <v>2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0</v>
      </c>
      <c r="FN363">
        <v>0</v>
      </c>
      <c r="FO363">
        <v>0</v>
      </c>
      <c r="FP363">
        <v>2</v>
      </c>
    </row>
    <row r="364" spans="1:172" ht="14.25">
      <c r="A364">
        <v>359</v>
      </c>
      <c r="B364" t="str">
        <f>"101607"</f>
        <v>101607</v>
      </c>
      <c r="C364" t="str">
        <f>"Rokiciny"</f>
        <v>Rokiciny</v>
      </c>
      <c r="D364" t="str">
        <f t="shared" si="63"/>
        <v>tomaszowski</v>
      </c>
      <c r="E364" t="str">
        <f t="shared" si="62"/>
        <v>łódzkie</v>
      </c>
      <c r="F364">
        <v>2</v>
      </c>
      <c r="G364" t="str">
        <f>"Szkoła Podstawowa, Łaznów 65, 97-221 Rokiciny"</f>
        <v>Szkoła Podstawowa, Łaznów 65, 97-221 Rokiciny</v>
      </c>
      <c r="H364">
        <v>1535</v>
      </c>
      <c r="I364">
        <v>1535</v>
      </c>
      <c r="J364">
        <v>0</v>
      </c>
      <c r="K364">
        <v>1080</v>
      </c>
      <c r="L364">
        <v>732</v>
      </c>
      <c r="M364">
        <v>348</v>
      </c>
      <c r="N364">
        <v>348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348</v>
      </c>
      <c r="Z364">
        <v>0</v>
      </c>
      <c r="AA364">
        <v>0</v>
      </c>
      <c r="AB364">
        <v>348</v>
      </c>
      <c r="AC364">
        <v>15</v>
      </c>
      <c r="AD364">
        <v>333</v>
      </c>
      <c r="AE364">
        <v>4</v>
      </c>
      <c r="AF364">
        <v>3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1</v>
      </c>
      <c r="AO364">
        <v>0</v>
      </c>
      <c r="AP364">
        <v>4</v>
      </c>
      <c r="AQ364">
        <v>5</v>
      </c>
      <c r="AR364">
        <v>4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1</v>
      </c>
      <c r="BA364">
        <v>0</v>
      </c>
      <c r="BB364">
        <v>5</v>
      </c>
      <c r="BC364">
        <v>8</v>
      </c>
      <c r="BD364">
        <v>5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3</v>
      </c>
      <c r="BN364">
        <v>8</v>
      </c>
      <c r="BO364">
        <v>201</v>
      </c>
      <c r="BP364">
        <v>178</v>
      </c>
      <c r="BQ364">
        <v>1</v>
      </c>
      <c r="BR364">
        <v>12</v>
      </c>
      <c r="BS364">
        <v>5</v>
      </c>
      <c r="BT364">
        <v>1</v>
      </c>
      <c r="BU364">
        <v>1</v>
      </c>
      <c r="BV364">
        <v>0</v>
      </c>
      <c r="BW364">
        <v>3</v>
      </c>
      <c r="BX364">
        <v>0</v>
      </c>
      <c r="BY364">
        <v>0</v>
      </c>
      <c r="BZ364">
        <v>201</v>
      </c>
      <c r="CA364">
        <v>8</v>
      </c>
      <c r="CB364">
        <v>0</v>
      </c>
      <c r="CC364">
        <v>5</v>
      </c>
      <c r="CD364">
        <v>0</v>
      </c>
      <c r="CE364">
        <v>1</v>
      </c>
      <c r="CF364">
        <v>1</v>
      </c>
      <c r="CG364">
        <v>0</v>
      </c>
      <c r="CH364">
        <v>0</v>
      </c>
      <c r="CI364">
        <v>0</v>
      </c>
      <c r="CJ364">
        <v>0</v>
      </c>
      <c r="CK364">
        <v>1</v>
      </c>
      <c r="CL364">
        <v>8</v>
      </c>
      <c r="CM364">
        <v>9</v>
      </c>
      <c r="CN364">
        <v>6</v>
      </c>
      <c r="CO364">
        <v>1</v>
      </c>
      <c r="CP364">
        <v>1</v>
      </c>
      <c r="CQ364">
        <v>0</v>
      </c>
      <c r="CR364">
        <v>0</v>
      </c>
      <c r="CS364">
        <v>1</v>
      </c>
      <c r="CT364">
        <v>0</v>
      </c>
      <c r="CU364">
        <v>0</v>
      </c>
      <c r="CV364">
        <v>0</v>
      </c>
      <c r="CW364">
        <v>0</v>
      </c>
      <c r="CX364">
        <v>9</v>
      </c>
      <c r="CY364">
        <v>6</v>
      </c>
      <c r="CZ364">
        <v>3</v>
      </c>
      <c r="DA364">
        <v>1</v>
      </c>
      <c r="DB364">
        <v>0</v>
      </c>
      <c r="DC364">
        <v>1</v>
      </c>
      <c r="DD364">
        <v>0</v>
      </c>
      <c r="DE364">
        <v>0</v>
      </c>
      <c r="DF364">
        <v>0</v>
      </c>
      <c r="DG364">
        <v>1</v>
      </c>
      <c r="DH364">
        <v>0</v>
      </c>
      <c r="DI364">
        <v>0</v>
      </c>
      <c r="DJ364">
        <v>6</v>
      </c>
      <c r="DK364">
        <v>30</v>
      </c>
      <c r="DL364">
        <v>22</v>
      </c>
      <c r="DM364">
        <v>3</v>
      </c>
      <c r="DN364">
        <v>1</v>
      </c>
      <c r="DO364">
        <v>0</v>
      </c>
      <c r="DP364">
        <v>1</v>
      </c>
      <c r="DQ364">
        <v>2</v>
      </c>
      <c r="DR364">
        <v>0</v>
      </c>
      <c r="DS364">
        <v>0</v>
      </c>
      <c r="DT364">
        <v>0</v>
      </c>
      <c r="DU364">
        <v>1</v>
      </c>
      <c r="DV364">
        <v>30</v>
      </c>
      <c r="DW364">
        <v>60</v>
      </c>
      <c r="DX364">
        <v>8</v>
      </c>
      <c r="DY364">
        <v>12</v>
      </c>
      <c r="DZ364">
        <v>0</v>
      </c>
      <c r="EA364">
        <v>2</v>
      </c>
      <c r="EB364">
        <v>5</v>
      </c>
      <c r="EC364">
        <v>22</v>
      </c>
      <c r="ED364">
        <v>1</v>
      </c>
      <c r="EE364">
        <v>2</v>
      </c>
      <c r="EF364">
        <v>4</v>
      </c>
      <c r="EG364">
        <v>4</v>
      </c>
      <c r="EH364">
        <v>60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2</v>
      </c>
      <c r="ET364">
        <v>2</v>
      </c>
      <c r="EU364">
        <v>0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2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0</v>
      </c>
    </row>
    <row r="365" spans="1:172" ht="14.25">
      <c r="A365">
        <v>360</v>
      </c>
      <c r="B365" t="str">
        <f>"101607"</f>
        <v>101607</v>
      </c>
      <c r="C365" t="str">
        <f>"Rokiciny"</f>
        <v>Rokiciny</v>
      </c>
      <c r="D365" t="str">
        <f t="shared" si="63"/>
        <v>tomaszowski</v>
      </c>
      <c r="E365" t="str">
        <f t="shared" si="62"/>
        <v>łódzkie</v>
      </c>
      <c r="F365">
        <v>3</v>
      </c>
      <c r="G365" t="str">
        <f>"Gminne Przedszkole w Rokicinach Oddział Przedszkolny w Jankowie, Janków Trzeci 6, 97-221 Rokiciny"</f>
        <v>Gminne Przedszkole w Rokicinach Oddział Przedszkolny w Jankowie, Janków Trzeci 6, 97-221 Rokiciny</v>
      </c>
      <c r="H365">
        <v>621</v>
      </c>
      <c r="I365">
        <v>621</v>
      </c>
      <c r="J365">
        <v>0</v>
      </c>
      <c r="K365">
        <v>440</v>
      </c>
      <c r="L365">
        <v>392</v>
      </c>
      <c r="M365">
        <v>48</v>
      </c>
      <c r="N365">
        <v>48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48</v>
      </c>
      <c r="Z365">
        <v>0</v>
      </c>
      <c r="AA365">
        <v>0</v>
      </c>
      <c r="AB365">
        <v>48</v>
      </c>
      <c r="AC365">
        <v>4</v>
      </c>
      <c r="AD365">
        <v>44</v>
      </c>
      <c r="AE365">
        <v>2</v>
      </c>
      <c r="AF365">
        <v>0</v>
      </c>
      <c r="AG365">
        <v>0</v>
      </c>
      <c r="AH365">
        <v>0</v>
      </c>
      <c r="AI365">
        <v>0</v>
      </c>
      <c r="AJ365">
        <v>1</v>
      </c>
      <c r="AK365">
        <v>0</v>
      </c>
      <c r="AL365">
        <v>0</v>
      </c>
      <c r="AM365">
        <v>0</v>
      </c>
      <c r="AN365">
        <v>1</v>
      </c>
      <c r="AO365">
        <v>0</v>
      </c>
      <c r="AP365">
        <v>2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3</v>
      </c>
      <c r="BD365">
        <v>0</v>
      </c>
      <c r="BE365">
        <v>0</v>
      </c>
      <c r="BF365">
        <v>1</v>
      </c>
      <c r="BG365">
        <v>0</v>
      </c>
      <c r="BH365">
        <v>0</v>
      </c>
      <c r="BI365">
        <v>1</v>
      </c>
      <c r="BJ365">
        <v>0</v>
      </c>
      <c r="BK365">
        <v>0</v>
      </c>
      <c r="BL365">
        <v>0</v>
      </c>
      <c r="BM365">
        <v>1</v>
      </c>
      <c r="BN365">
        <v>3</v>
      </c>
      <c r="BO365">
        <v>22</v>
      </c>
      <c r="BP365">
        <v>22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22</v>
      </c>
      <c r="CA365">
        <v>3</v>
      </c>
      <c r="CB365">
        <v>1</v>
      </c>
      <c r="CC365">
        <v>2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3</v>
      </c>
      <c r="CM365">
        <v>1</v>
      </c>
      <c r="CN365">
        <v>1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1</v>
      </c>
      <c r="CY365">
        <v>2</v>
      </c>
      <c r="CZ365">
        <v>1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1</v>
      </c>
      <c r="DJ365">
        <v>2</v>
      </c>
      <c r="DK365">
        <v>4</v>
      </c>
      <c r="DL365">
        <v>3</v>
      </c>
      <c r="DM365">
        <v>1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0</v>
      </c>
      <c r="DV365">
        <v>4</v>
      </c>
      <c r="DW365">
        <v>7</v>
      </c>
      <c r="DX365">
        <v>0</v>
      </c>
      <c r="DY365">
        <v>4</v>
      </c>
      <c r="DZ365">
        <v>0</v>
      </c>
      <c r="EA365">
        <v>1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2</v>
      </c>
      <c r="EH365">
        <v>7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</row>
    <row r="366" spans="1:172" ht="14.25">
      <c r="A366">
        <v>361</v>
      </c>
      <c r="B366" t="str">
        <f>"101607"</f>
        <v>101607</v>
      </c>
      <c r="C366" t="str">
        <f>"Rokiciny"</f>
        <v>Rokiciny</v>
      </c>
      <c r="D366" t="str">
        <f t="shared" si="63"/>
        <v>tomaszowski</v>
      </c>
      <c r="E366" t="str">
        <f t="shared" si="62"/>
        <v>łódzkie</v>
      </c>
      <c r="F366">
        <v>4</v>
      </c>
      <c r="G366" t="str">
        <f>"Świetlica Wiejska, ul. Główna 19, Nowe Chrusty, 97-221 Rokiciny"</f>
        <v>Świetlica Wiejska, ul. Główna 19, Nowe Chrusty, 97-221 Rokiciny</v>
      </c>
      <c r="H366">
        <v>702</v>
      </c>
      <c r="I366">
        <v>702</v>
      </c>
      <c r="J366">
        <v>0</v>
      </c>
      <c r="K366">
        <v>490</v>
      </c>
      <c r="L366">
        <v>292</v>
      </c>
      <c r="M366">
        <v>198</v>
      </c>
      <c r="N366">
        <v>198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198</v>
      </c>
      <c r="Z366">
        <v>0</v>
      </c>
      <c r="AA366">
        <v>0</v>
      </c>
      <c r="AB366">
        <v>198</v>
      </c>
      <c r="AC366">
        <v>2</v>
      </c>
      <c r="AD366">
        <v>196</v>
      </c>
      <c r="AE366">
        <v>6</v>
      </c>
      <c r="AF366">
        <v>1</v>
      </c>
      <c r="AG366">
        <v>2</v>
      </c>
      <c r="AH366">
        <v>1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2</v>
      </c>
      <c r="AP366">
        <v>6</v>
      </c>
      <c r="AQ366">
        <v>3</v>
      </c>
      <c r="AR366">
        <v>0</v>
      </c>
      <c r="AS366">
        <v>1</v>
      </c>
      <c r="AT366">
        <v>0</v>
      </c>
      <c r="AU366">
        <v>0</v>
      </c>
      <c r="AV366">
        <v>1</v>
      </c>
      <c r="AW366">
        <v>0</v>
      </c>
      <c r="AX366">
        <v>0</v>
      </c>
      <c r="AY366">
        <v>0</v>
      </c>
      <c r="AZ366">
        <v>1</v>
      </c>
      <c r="BA366">
        <v>0</v>
      </c>
      <c r="BB366">
        <v>3</v>
      </c>
      <c r="BC366">
        <v>16</v>
      </c>
      <c r="BD366">
        <v>10</v>
      </c>
      <c r="BE366">
        <v>0</v>
      </c>
      <c r="BF366">
        <v>0</v>
      </c>
      <c r="BG366">
        <v>0</v>
      </c>
      <c r="BH366">
        <v>1</v>
      </c>
      <c r="BI366">
        <v>1</v>
      </c>
      <c r="BJ366">
        <v>0</v>
      </c>
      <c r="BK366">
        <v>1</v>
      </c>
      <c r="BL366">
        <v>0</v>
      </c>
      <c r="BM366">
        <v>3</v>
      </c>
      <c r="BN366">
        <v>16</v>
      </c>
      <c r="BO366">
        <v>97</v>
      </c>
      <c r="BP366">
        <v>76</v>
      </c>
      <c r="BQ366">
        <v>8</v>
      </c>
      <c r="BR366">
        <v>3</v>
      </c>
      <c r="BS366">
        <v>1</v>
      </c>
      <c r="BT366">
        <v>0</v>
      </c>
      <c r="BU366">
        <v>3</v>
      </c>
      <c r="BV366">
        <v>0</v>
      </c>
      <c r="BW366">
        <v>6</v>
      </c>
      <c r="BX366">
        <v>0</v>
      </c>
      <c r="BY366">
        <v>0</v>
      </c>
      <c r="BZ366">
        <v>97</v>
      </c>
      <c r="CA366">
        <v>5</v>
      </c>
      <c r="CB366">
        <v>1</v>
      </c>
      <c r="CC366">
        <v>1</v>
      </c>
      <c r="CD366">
        <v>1</v>
      </c>
      <c r="CE366">
        <v>0</v>
      </c>
      <c r="CF366">
        <v>0</v>
      </c>
      <c r="CG366">
        <v>1</v>
      </c>
      <c r="CH366">
        <v>0</v>
      </c>
      <c r="CI366">
        <v>0</v>
      </c>
      <c r="CJ366">
        <v>1</v>
      </c>
      <c r="CK366">
        <v>0</v>
      </c>
      <c r="CL366">
        <v>5</v>
      </c>
      <c r="CM366">
        <v>2</v>
      </c>
      <c r="CN366">
        <v>2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2</v>
      </c>
      <c r="CY366">
        <v>12</v>
      </c>
      <c r="CZ366">
        <v>7</v>
      </c>
      <c r="DA366">
        <v>0</v>
      </c>
      <c r="DB366">
        <v>1</v>
      </c>
      <c r="DC366">
        <v>1</v>
      </c>
      <c r="DD366">
        <v>2</v>
      </c>
      <c r="DE366">
        <v>0</v>
      </c>
      <c r="DF366">
        <v>0</v>
      </c>
      <c r="DG366">
        <v>1</v>
      </c>
      <c r="DH366">
        <v>0</v>
      </c>
      <c r="DI366">
        <v>0</v>
      </c>
      <c r="DJ366">
        <v>12</v>
      </c>
      <c r="DK366">
        <v>34</v>
      </c>
      <c r="DL366">
        <v>17</v>
      </c>
      <c r="DM366">
        <v>13</v>
      </c>
      <c r="DN366">
        <v>0</v>
      </c>
      <c r="DO366">
        <v>0</v>
      </c>
      <c r="DP366">
        <v>0</v>
      </c>
      <c r="DQ366">
        <v>1</v>
      </c>
      <c r="DR366">
        <v>0</v>
      </c>
      <c r="DS366">
        <v>1</v>
      </c>
      <c r="DT366">
        <v>0</v>
      </c>
      <c r="DU366">
        <v>2</v>
      </c>
      <c r="DV366">
        <v>34</v>
      </c>
      <c r="DW366">
        <v>14</v>
      </c>
      <c r="DX366">
        <v>4</v>
      </c>
      <c r="DY366">
        <v>6</v>
      </c>
      <c r="DZ366">
        <v>1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3</v>
      </c>
      <c r="EH366">
        <v>14</v>
      </c>
      <c r="EI366">
        <v>4</v>
      </c>
      <c r="EJ366">
        <v>0</v>
      </c>
      <c r="EK366">
        <v>2</v>
      </c>
      <c r="EL366">
        <v>0</v>
      </c>
      <c r="EM366">
        <v>0</v>
      </c>
      <c r="EN366">
        <v>0</v>
      </c>
      <c r="EO366">
        <v>2</v>
      </c>
      <c r="EP366">
        <v>0</v>
      </c>
      <c r="EQ366">
        <v>0</v>
      </c>
      <c r="ER366">
        <v>4</v>
      </c>
      <c r="ES366">
        <v>2</v>
      </c>
      <c r="ET366">
        <v>1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1</v>
      </c>
      <c r="FB366">
        <v>0</v>
      </c>
      <c r="FC366">
        <v>0</v>
      </c>
      <c r="FD366">
        <v>2</v>
      </c>
      <c r="FE366">
        <v>1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1</v>
      </c>
      <c r="FP366">
        <v>1</v>
      </c>
    </row>
    <row r="367" spans="1:172" ht="14.25">
      <c r="A367">
        <v>362</v>
      </c>
      <c r="B367" t="str">
        <f>"101607"</f>
        <v>101607</v>
      </c>
      <c r="C367" t="str">
        <f>"Rokiciny"</f>
        <v>Rokiciny</v>
      </c>
      <c r="D367" t="str">
        <f t="shared" si="63"/>
        <v>tomaszowski</v>
      </c>
      <c r="E367" t="str">
        <f t="shared" si="62"/>
        <v>łódzkie</v>
      </c>
      <c r="F367">
        <v>5</v>
      </c>
      <c r="G367" t="s">
        <v>38</v>
      </c>
      <c r="H367">
        <v>85</v>
      </c>
      <c r="I367">
        <v>85</v>
      </c>
      <c r="J367">
        <v>0</v>
      </c>
      <c r="K367">
        <v>90</v>
      </c>
      <c r="L367">
        <v>63</v>
      </c>
      <c r="M367">
        <v>27</v>
      </c>
      <c r="N367">
        <v>27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27</v>
      </c>
      <c r="Z367">
        <v>0</v>
      </c>
      <c r="AA367">
        <v>0</v>
      </c>
      <c r="AB367">
        <v>27</v>
      </c>
      <c r="AC367">
        <v>2</v>
      </c>
      <c r="AD367">
        <v>25</v>
      </c>
      <c r="AE367">
        <v>4</v>
      </c>
      <c r="AF367">
        <v>3</v>
      </c>
      <c r="AG367">
        <v>0</v>
      </c>
      <c r="AH367">
        <v>0</v>
      </c>
      <c r="AI367">
        <v>0</v>
      </c>
      <c r="AJ367">
        <v>1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4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2</v>
      </c>
      <c r="BD367">
        <v>1</v>
      </c>
      <c r="BE367">
        <v>0</v>
      </c>
      <c r="BF367">
        <v>0</v>
      </c>
      <c r="BG367">
        <v>1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2</v>
      </c>
      <c r="BO367">
        <v>11</v>
      </c>
      <c r="BP367">
        <v>8</v>
      </c>
      <c r="BQ367">
        <v>1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1</v>
      </c>
      <c r="BY367">
        <v>1</v>
      </c>
      <c r="BZ367">
        <v>11</v>
      </c>
      <c r="CA367">
        <v>1</v>
      </c>
      <c r="CB367">
        <v>1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1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2</v>
      </c>
      <c r="DL367">
        <v>0</v>
      </c>
      <c r="DM367">
        <v>1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0</v>
      </c>
      <c r="DU367">
        <v>1</v>
      </c>
      <c r="DV367">
        <v>2</v>
      </c>
      <c r="DW367">
        <v>2</v>
      </c>
      <c r="DX367">
        <v>0</v>
      </c>
      <c r="DY367">
        <v>1</v>
      </c>
      <c r="DZ367">
        <v>1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2</v>
      </c>
      <c r="EI367">
        <v>1</v>
      </c>
      <c r="EJ367">
        <v>0</v>
      </c>
      <c r="EK367">
        <v>1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1</v>
      </c>
      <c r="ES367">
        <v>2</v>
      </c>
      <c r="ET367">
        <v>0</v>
      </c>
      <c r="EU367">
        <v>0</v>
      </c>
      <c r="EV367">
        <v>0</v>
      </c>
      <c r="EW367">
        <v>1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1</v>
      </c>
      <c r="FD367">
        <v>2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0</v>
      </c>
      <c r="FO367">
        <v>0</v>
      </c>
      <c r="FP367">
        <v>0</v>
      </c>
    </row>
    <row r="368" spans="1:172" ht="14.25">
      <c r="A368">
        <v>363</v>
      </c>
      <c r="B368" t="str">
        <f>"101608"</f>
        <v>101608</v>
      </c>
      <c r="C368" t="str">
        <f>"Rzeczyca"</f>
        <v>Rzeczyca</v>
      </c>
      <c r="D368" t="str">
        <f t="shared" si="63"/>
        <v>tomaszowski</v>
      </c>
      <c r="E368" t="str">
        <f t="shared" si="62"/>
        <v>łódzkie</v>
      </c>
      <c r="F368">
        <v>1</v>
      </c>
      <c r="G368" t="str">
        <f>"Publiczna Szkoła Podstawowa w Rzeczycy Filia w Sadykierzu, Sadykierz 51, 97-220 Rzeczyca"</f>
        <v>Publiczna Szkoła Podstawowa w Rzeczycy Filia w Sadykierzu, Sadykierz 51, 97-220 Rzeczyca</v>
      </c>
      <c r="H368">
        <v>1363</v>
      </c>
      <c r="I368">
        <v>1363</v>
      </c>
      <c r="J368">
        <v>0</v>
      </c>
      <c r="K368">
        <v>950</v>
      </c>
      <c r="L368">
        <v>728</v>
      </c>
      <c r="M368">
        <v>222</v>
      </c>
      <c r="N368">
        <v>222</v>
      </c>
      <c r="O368">
        <v>0</v>
      </c>
      <c r="P368">
        <v>0</v>
      </c>
      <c r="Q368">
        <v>2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222</v>
      </c>
      <c r="Z368">
        <v>0</v>
      </c>
      <c r="AA368">
        <v>0</v>
      </c>
      <c r="AB368">
        <v>222</v>
      </c>
      <c r="AC368">
        <v>8</v>
      </c>
      <c r="AD368">
        <v>214</v>
      </c>
      <c r="AE368">
        <v>2</v>
      </c>
      <c r="AF368">
        <v>1</v>
      </c>
      <c r="AG368">
        <v>0</v>
      </c>
      <c r="AH368">
        <v>0</v>
      </c>
      <c r="AI368">
        <v>0</v>
      </c>
      <c r="AJ368">
        <v>1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2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4</v>
      </c>
      <c r="BD368">
        <v>0</v>
      </c>
      <c r="BE368">
        <v>2</v>
      </c>
      <c r="BF368">
        <v>0</v>
      </c>
      <c r="BG368">
        <v>0</v>
      </c>
      <c r="BH368">
        <v>0</v>
      </c>
      <c r="BI368">
        <v>1</v>
      </c>
      <c r="BJ368">
        <v>0</v>
      </c>
      <c r="BK368">
        <v>0</v>
      </c>
      <c r="BL368">
        <v>1</v>
      </c>
      <c r="BM368">
        <v>0</v>
      </c>
      <c r="BN368">
        <v>4</v>
      </c>
      <c r="BO368">
        <v>117</v>
      </c>
      <c r="BP368">
        <v>97</v>
      </c>
      <c r="BQ368">
        <v>2</v>
      </c>
      <c r="BR368">
        <v>2</v>
      </c>
      <c r="BS368">
        <v>0</v>
      </c>
      <c r="BT368">
        <v>1</v>
      </c>
      <c r="BU368">
        <v>7</v>
      </c>
      <c r="BV368">
        <v>0</v>
      </c>
      <c r="BW368">
        <v>8</v>
      </c>
      <c r="BX368">
        <v>0</v>
      </c>
      <c r="BY368">
        <v>0</v>
      </c>
      <c r="BZ368">
        <v>117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3</v>
      </c>
      <c r="CN368">
        <v>1</v>
      </c>
      <c r="CO368">
        <v>1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1</v>
      </c>
      <c r="CV368">
        <v>0</v>
      </c>
      <c r="CW368">
        <v>0</v>
      </c>
      <c r="CX368">
        <v>3</v>
      </c>
      <c r="CY368">
        <v>8</v>
      </c>
      <c r="CZ368">
        <v>3</v>
      </c>
      <c r="DA368">
        <v>0</v>
      </c>
      <c r="DB368">
        <v>1</v>
      </c>
      <c r="DC368">
        <v>2</v>
      </c>
      <c r="DD368">
        <v>0</v>
      </c>
      <c r="DE368">
        <v>0</v>
      </c>
      <c r="DF368">
        <v>1</v>
      </c>
      <c r="DG368">
        <v>1</v>
      </c>
      <c r="DH368">
        <v>0</v>
      </c>
      <c r="DI368">
        <v>0</v>
      </c>
      <c r="DJ368">
        <v>8</v>
      </c>
      <c r="DK368">
        <v>6</v>
      </c>
      <c r="DL368">
        <v>3</v>
      </c>
      <c r="DM368">
        <v>0</v>
      </c>
      <c r="DN368">
        <v>0</v>
      </c>
      <c r="DO368">
        <v>0</v>
      </c>
      <c r="DP368">
        <v>1</v>
      </c>
      <c r="DQ368">
        <v>0</v>
      </c>
      <c r="DR368">
        <v>0</v>
      </c>
      <c r="DS368">
        <v>1</v>
      </c>
      <c r="DT368">
        <v>0</v>
      </c>
      <c r="DU368">
        <v>1</v>
      </c>
      <c r="DV368">
        <v>6</v>
      </c>
      <c r="DW368">
        <v>64</v>
      </c>
      <c r="DX368">
        <v>1</v>
      </c>
      <c r="DY368">
        <v>24</v>
      </c>
      <c r="DZ368">
        <v>1</v>
      </c>
      <c r="EA368">
        <v>0</v>
      </c>
      <c r="EB368">
        <v>1</v>
      </c>
      <c r="EC368">
        <v>25</v>
      </c>
      <c r="ED368">
        <v>0</v>
      </c>
      <c r="EE368">
        <v>0</v>
      </c>
      <c r="EF368">
        <v>2</v>
      </c>
      <c r="EG368">
        <v>10</v>
      </c>
      <c r="EH368">
        <v>64</v>
      </c>
      <c r="EI368">
        <v>2</v>
      </c>
      <c r="EJ368">
        <v>0</v>
      </c>
      <c r="EK368">
        <v>2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2</v>
      </c>
      <c r="ES368">
        <v>5</v>
      </c>
      <c r="ET368">
        <v>0</v>
      </c>
      <c r="EU368">
        <v>5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5</v>
      </c>
      <c r="FE368">
        <v>3</v>
      </c>
      <c r="FF368">
        <v>1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1</v>
      </c>
      <c r="FO368">
        <v>1</v>
      </c>
      <c r="FP368">
        <v>3</v>
      </c>
    </row>
    <row r="369" spans="1:172" ht="14.25">
      <c r="A369">
        <v>364</v>
      </c>
      <c r="B369" t="str">
        <f>"101608"</f>
        <v>101608</v>
      </c>
      <c r="C369" t="str">
        <f>"Rzeczyca"</f>
        <v>Rzeczyca</v>
      </c>
      <c r="D369" t="str">
        <f t="shared" si="63"/>
        <v>tomaszowski</v>
      </c>
      <c r="E369" t="str">
        <f t="shared" si="62"/>
        <v>łódzkie</v>
      </c>
      <c r="F369">
        <v>2</v>
      </c>
      <c r="G369" t="str">
        <f>"Publiczna Szkoła Podstawowa w Rzeczycy Filia w Luboczy, Lubocz 3, 97-220 Rzeczyca"</f>
        <v>Publiczna Szkoła Podstawowa w Rzeczycy Filia w Luboczy, Lubocz 3, 97-220 Rzeczyca</v>
      </c>
      <c r="H369">
        <v>799</v>
      </c>
      <c r="I369">
        <v>799</v>
      </c>
      <c r="J369">
        <v>0</v>
      </c>
      <c r="K369">
        <v>560</v>
      </c>
      <c r="L369">
        <v>415</v>
      </c>
      <c r="M369">
        <v>145</v>
      </c>
      <c r="N369">
        <v>145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145</v>
      </c>
      <c r="Z369">
        <v>0</v>
      </c>
      <c r="AA369">
        <v>0</v>
      </c>
      <c r="AB369">
        <v>145</v>
      </c>
      <c r="AC369">
        <v>4</v>
      </c>
      <c r="AD369">
        <v>141</v>
      </c>
      <c r="AE369">
        <v>6</v>
      </c>
      <c r="AF369">
        <v>2</v>
      </c>
      <c r="AG369">
        <v>1</v>
      </c>
      <c r="AH369">
        <v>0</v>
      </c>
      <c r="AI369">
        <v>2</v>
      </c>
      <c r="AJ369">
        <v>0</v>
      </c>
      <c r="AK369">
        <v>0</v>
      </c>
      <c r="AL369">
        <v>0</v>
      </c>
      <c r="AM369">
        <v>0</v>
      </c>
      <c r="AN369">
        <v>1</v>
      </c>
      <c r="AO369">
        <v>0</v>
      </c>
      <c r="AP369">
        <v>6</v>
      </c>
      <c r="AQ369">
        <v>1</v>
      </c>
      <c r="AR369">
        <v>1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1</v>
      </c>
      <c r="BC369">
        <v>1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1</v>
      </c>
      <c r="BN369">
        <v>1</v>
      </c>
      <c r="BO369">
        <v>88</v>
      </c>
      <c r="BP369">
        <v>80</v>
      </c>
      <c r="BQ369">
        <v>4</v>
      </c>
      <c r="BR369">
        <v>2</v>
      </c>
      <c r="BS369">
        <v>1</v>
      </c>
      <c r="BT369">
        <v>0</v>
      </c>
      <c r="BU369">
        <v>0</v>
      </c>
      <c r="BV369">
        <v>0</v>
      </c>
      <c r="BW369">
        <v>1</v>
      </c>
      <c r="BX369">
        <v>0</v>
      </c>
      <c r="BY369">
        <v>0</v>
      </c>
      <c r="BZ369">
        <v>88</v>
      </c>
      <c r="CA369">
        <v>1</v>
      </c>
      <c r="CB369">
        <v>0</v>
      </c>
      <c r="CC369">
        <v>0</v>
      </c>
      <c r="CD369">
        <v>1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1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6</v>
      </c>
      <c r="CZ369">
        <v>6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6</v>
      </c>
      <c r="DK369">
        <v>8</v>
      </c>
      <c r="DL369">
        <v>1</v>
      </c>
      <c r="DM369">
        <v>1</v>
      </c>
      <c r="DN369">
        <v>0</v>
      </c>
      <c r="DO369">
        <v>0</v>
      </c>
      <c r="DP369">
        <v>5</v>
      </c>
      <c r="DQ369">
        <v>0</v>
      </c>
      <c r="DR369">
        <v>1</v>
      </c>
      <c r="DS369">
        <v>0</v>
      </c>
      <c r="DT369">
        <v>0</v>
      </c>
      <c r="DU369">
        <v>0</v>
      </c>
      <c r="DV369">
        <v>8</v>
      </c>
      <c r="DW369">
        <v>29</v>
      </c>
      <c r="DX369">
        <v>0</v>
      </c>
      <c r="DY369">
        <v>19</v>
      </c>
      <c r="DZ369">
        <v>0</v>
      </c>
      <c r="EA369">
        <v>0</v>
      </c>
      <c r="EB369">
        <v>2</v>
      </c>
      <c r="EC369">
        <v>6</v>
      </c>
      <c r="ED369">
        <v>0</v>
      </c>
      <c r="EE369">
        <v>0</v>
      </c>
      <c r="EF369">
        <v>0</v>
      </c>
      <c r="EG369">
        <v>2</v>
      </c>
      <c r="EH369">
        <v>29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1</v>
      </c>
      <c r="ET369">
        <v>0</v>
      </c>
      <c r="EU369">
        <v>1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1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</row>
    <row r="370" spans="1:172" ht="14.25">
      <c r="A370">
        <v>365</v>
      </c>
      <c r="B370" t="str">
        <f>"101608"</f>
        <v>101608</v>
      </c>
      <c r="C370" t="str">
        <f>"Rzeczyca"</f>
        <v>Rzeczyca</v>
      </c>
      <c r="D370" t="str">
        <f t="shared" si="63"/>
        <v>tomaszowski</v>
      </c>
      <c r="E370" t="str">
        <f t="shared" si="62"/>
        <v>łódzkie</v>
      </c>
      <c r="F370">
        <v>3</v>
      </c>
      <c r="G370" t="str">
        <f>"Publiczna Szkoła Podstawowa w Rzeczycy, ul. J. Kitowicza 4, 97-220 Rzeczyca"</f>
        <v>Publiczna Szkoła Podstawowa w Rzeczycy, ul. J. Kitowicza 4, 97-220 Rzeczyca</v>
      </c>
      <c r="H370">
        <v>1001</v>
      </c>
      <c r="I370">
        <v>1001</v>
      </c>
      <c r="J370">
        <v>0</v>
      </c>
      <c r="K370">
        <v>700</v>
      </c>
      <c r="L370">
        <v>483</v>
      </c>
      <c r="M370">
        <v>217</v>
      </c>
      <c r="N370">
        <v>217</v>
      </c>
      <c r="O370">
        <v>0</v>
      </c>
      <c r="P370">
        <v>0</v>
      </c>
      <c r="Q370">
        <v>3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217</v>
      </c>
      <c r="Z370">
        <v>0</v>
      </c>
      <c r="AA370">
        <v>0</v>
      </c>
      <c r="AB370">
        <v>217</v>
      </c>
      <c r="AC370">
        <v>6</v>
      </c>
      <c r="AD370">
        <v>211</v>
      </c>
      <c r="AE370">
        <v>8</v>
      </c>
      <c r="AF370">
        <v>4</v>
      </c>
      <c r="AG370">
        <v>0</v>
      </c>
      <c r="AH370">
        <v>1</v>
      </c>
      <c r="AI370">
        <v>1</v>
      </c>
      <c r="AJ370">
        <v>0</v>
      </c>
      <c r="AK370">
        <v>1</v>
      </c>
      <c r="AL370">
        <v>1</v>
      </c>
      <c r="AM370">
        <v>0</v>
      </c>
      <c r="AN370">
        <v>0</v>
      </c>
      <c r="AO370">
        <v>0</v>
      </c>
      <c r="AP370">
        <v>8</v>
      </c>
      <c r="AQ370">
        <v>2</v>
      </c>
      <c r="AR370">
        <v>2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2</v>
      </c>
      <c r="BC370">
        <v>28</v>
      </c>
      <c r="BD370">
        <v>13</v>
      </c>
      <c r="BE370">
        <v>8</v>
      </c>
      <c r="BF370">
        <v>0</v>
      </c>
      <c r="BG370">
        <v>1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6</v>
      </c>
      <c r="BN370">
        <v>28</v>
      </c>
      <c r="BO370">
        <v>85</v>
      </c>
      <c r="BP370">
        <v>79</v>
      </c>
      <c r="BQ370">
        <v>0</v>
      </c>
      <c r="BR370">
        <v>1</v>
      </c>
      <c r="BS370">
        <v>0</v>
      </c>
      <c r="BT370">
        <v>0</v>
      </c>
      <c r="BU370">
        <v>4</v>
      </c>
      <c r="BV370">
        <v>0</v>
      </c>
      <c r="BW370">
        <v>0</v>
      </c>
      <c r="BX370">
        <v>0</v>
      </c>
      <c r="BY370">
        <v>1</v>
      </c>
      <c r="BZ370">
        <v>85</v>
      </c>
      <c r="CA370">
        <v>3</v>
      </c>
      <c r="CB370">
        <v>1</v>
      </c>
      <c r="CC370">
        <v>0</v>
      </c>
      <c r="CD370">
        <v>2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3</v>
      </c>
      <c r="CM370">
        <v>1</v>
      </c>
      <c r="CN370">
        <v>1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1</v>
      </c>
      <c r="CY370">
        <v>11</v>
      </c>
      <c r="CZ370">
        <v>5</v>
      </c>
      <c r="DA370">
        <v>1</v>
      </c>
      <c r="DB370">
        <v>2</v>
      </c>
      <c r="DC370">
        <v>0</v>
      </c>
      <c r="DD370">
        <v>0</v>
      </c>
      <c r="DE370">
        <v>0</v>
      </c>
      <c r="DF370">
        <v>0</v>
      </c>
      <c r="DG370">
        <v>1</v>
      </c>
      <c r="DH370">
        <v>1</v>
      </c>
      <c r="DI370">
        <v>1</v>
      </c>
      <c r="DJ370">
        <v>11</v>
      </c>
      <c r="DK370">
        <v>16</v>
      </c>
      <c r="DL370">
        <v>9</v>
      </c>
      <c r="DM370">
        <v>3</v>
      </c>
      <c r="DN370">
        <v>0</v>
      </c>
      <c r="DO370">
        <v>0</v>
      </c>
      <c r="DP370">
        <v>1</v>
      </c>
      <c r="DQ370">
        <v>1</v>
      </c>
      <c r="DR370">
        <v>0</v>
      </c>
      <c r="DS370">
        <v>1</v>
      </c>
      <c r="DT370">
        <v>0</v>
      </c>
      <c r="DU370">
        <v>1</v>
      </c>
      <c r="DV370">
        <v>16</v>
      </c>
      <c r="DW370">
        <v>53</v>
      </c>
      <c r="DX370">
        <v>1</v>
      </c>
      <c r="DY370">
        <v>12</v>
      </c>
      <c r="DZ370">
        <v>0</v>
      </c>
      <c r="EA370">
        <v>0</v>
      </c>
      <c r="EB370">
        <v>6</v>
      </c>
      <c r="EC370">
        <v>24</v>
      </c>
      <c r="ED370">
        <v>3</v>
      </c>
      <c r="EE370">
        <v>1</v>
      </c>
      <c r="EF370">
        <v>1</v>
      </c>
      <c r="EG370">
        <v>5</v>
      </c>
      <c r="EH370">
        <v>53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4</v>
      </c>
      <c r="ET370">
        <v>2</v>
      </c>
      <c r="EU370">
        <v>1</v>
      </c>
      <c r="EV370">
        <v>0</v>
      </c>
      <c r="EW370">
        <v>0</v>
      </c>
      <c r="EX370">
        <v>0</v>
      </c>
      <c r="EY370">
        <v>0</v>
      </c>
      <c r="EZ370">
        <v>1</v>
      </c>
      <c r="FA370">
        <v>0</v>
      </c>
      <c r="FB370">
        <v>0</v>
      </c>
      <c r="FC370">
        <v>0</v>
      </c>
      <c r="FD370">
        <v>4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</row>
    <row r="371" spans="1:172" ht="14.25">
      <c r="A371">
        <v>366</v>
      </c>
      <c r="B371" t="str">
        <f>"101608"</f>
        <v>101608</v>
      </c>
      <c r="C371" t="str">
        <f>"Rzeczyca"</f>
        <v>Rzeczyca</v>
      </c>
      <c r="D371" t="str">
        <f t="shared" si="63"/>
        <v>tomaszowski</v>
      </c>
      <c r="E371" t="str">
        <f t="shared" si="62"/>
        <v>łódzkie</v>
      </c>
      <c r="F371">
        <v>4</v>
      </c>
      <c r="G371" t="str">
        <f>"Publiczna Szkoła Podstawowa w Rzeczyca, ul. J.Kitowicza 4, 97-220 Rzeczyca"</f>
        <v>Publiczna Szkoła Podstawowa w Rzeczyca, ul. J.Kitowicza 4, 97-220 Rzeczyca</v>
      </c>
      <c r="H371">
        <v>793</v>
      </c>
      <c r="I371">
        <v>793</v>
      </c>
      <c r="J371">
        <v>0</v>
      </c>
      <c r="K371">
        <v>560</v>
      </c>
      <c r="L371">
        <v>407</v>
      </c>
      <c r="M371">
        <v>153</v>
      </c>
      <c r="N371">
        <v>153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153</v>
      </c>
      <c r="Z371">
        <v>0</v>
      </c>
      <c r="AA371">
        <v>0</v>
      </c>
      <c r="AB371">
        <v>153</v>
      </c>
      <c r="AC371">
        <v>8</v>
      </c>
      <c r="AD371">
        <v>145</v>
      </c>
      <c r="AE371">
        <v>4</v>
      </c>
      <c r="AF371">
        <v>0</v>
      </c>
      <c r="AG371">
        <v>2</v>
      </c>
      <c r="AH371">
        <v>1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1</v>
      </c>
      <c r="AO371">
        <v>0</v>
      </c>
      <c r="AP371">
        <v>4</v>
      </c>
      <c r="AQ371">
        <v>1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1</v>
      </c>
      <c r="BA371">
        <v>0</v>
      </c>
      <c r="BB371">
        <v>1</v>
      </c>
      <c r="BC371">
        <v>10</v>
      </c>
      <c r="BD371">
        <v>6</v>
      </c>
      <c r="BE371">
        <v>1</v>
      </c>
      <c r="BF371">
        <v>0</v>
      </c>
      <c r="BG371">
        <v>0</v>
      </c>
      <c r="BH371">
        <v>0</v>
      </c>
      <c r="BI371">
        <v>1</v>
      </c>
      <c r="BJ371">
        <v>0</v>
      </c>
      <c r="BK371">
        <v>0</v>
      </c>
      <c r="BL371">
        <v>0</v>
      </c>
      <c r="BM371">
        <v>2</v>
      </c>
      <c r="BN371">
        <v>10</v>
      </c>
      <c r="BO371">
        <v>71</v>
      </c>
      <c r="BP371">
        <v>64</v>
      </c>
      <c r="BQ371">
        <v>0</v>
      </c>
      <c r="BR371">
        <v>1</v>
      </c>
      <c r="BS371">
        <v>0</v>
      </c>
      <c r="BT371">
        <v>0</v>
      </c>
      <c r="BU371">
        <v>5</v>
      </c>
      <c r="BV371">
        <v>1</v>
      </c>
      <c r="BW371">
        <v>0</v>
      </c>
      <c r="BX371">
        <v>0</v>
      </c>
      <c r="BY371">
        <v>0</v>
      </c>
      <c r="BZ371">
        <v>71</v>
      </c>
      <c r="CA371">
        <v>1</v>
      </c>
      <c r="CB371">
        <v>0</v>
      </c>
      <c r="CC371">
        <v>0</v>
      </c>
      <c r="CD371">
        <v>1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1</v>
      </c>
      <c r="CM371">
        <v>1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1</v>
      </c>
      <c r="CT371">
        <v>0</v>
      </c>
      <c r="CU371">
        <v>0</v>
      </c>
      <c r="CV371">
        <v>0</v>
      </c>
      <c r="CW371">
        <v>0</v>
      </c>
      <c r="CX371">
        <v>1</v>
      </c>
      <c r="CY371">
        <v>15</v>
      </c>
      <c r="CZ371">
        <v>7</v>
      </c>
      <c r="DA371">
        <v>3</v>
      </c>
      <c r="DB371">
        <v>0</v>
      </c>
      <c r="DC371">
        <v>0</v>
      </c>
      <c r="DD371">
        <v>0</v>
      </c>
      <c r="DE371">
        <v>0</v>
      </c>
      <c r="DF371">
        <v>1</v>
      </c>
      <c r="DG371">
        <v>2</v>
      </c>
      <c r="DH371">
        <v>2</v>
      </c>
      <c r="DI371">
        <v>0</v>
      </c>
      <c r="DJ371">
        <v>15</v>
      </c>
      <c r="DK371">
        <v>9</v>
      </c>
      <c r="DL371">
        <v>5</v>
      </c>
      <c r="DM371">
        <v>3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1</v>
      </c>
      <c r="DT371">
        <v>0</v>
      </c>
      <c r="DU371">
        <v>0</v>
      </c>
      <c r="DV371">
        <v>9</v>
      </c>
      <c r="DW371">
        <v>33</v>
      </c>
      <c r="DX371">
        <v>1</v>
      </c>
      <c r="DY371">
        <v>5</v>
      </c>
      <c r="DZ371">
        <v>0</v>
      </c>
      <c r="EA371">
        <v>0</v>
      </c>
      <c r="EB371">
        <v>8</v>
      </c>
      <c r="EC371">
        <v>11</v>
      </c>
      <c r="ED371">
        <v>0</v>
      </c>
      <c r="EE371">
        <v>0</v>
      </c>
      <c r="EF371">
        <v>0</v>
      </c>
      <c r="EG371">
        <v>8</v>
      </c>
      <c r="EH371">
        <v>33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0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</row>
    <row r="372" spans="1:172" ht="14.25">
      <c r="A372">
        <v>367</v>
      </c>
      <c r="B372" t="str">
        <f aca="true" t="shared" si="66" ref="B372:B380">"101609"</f>
        <v>101609</v>
      </c>
      <c r="C372" t="str">
        <f aca="true" t="shared" si="67" ref="C372:C380">"Tomaszów Mazowiecki"</f>
        <v>Tomaszów Mazowiecki</v>
      </c>
      <c r="D372" t="str">
        <f t="shared" si="63"/>
        <v>tomaszowski</v>
      </c>
      <c r="E372" t="str">
        <f t="shared" si="62"/>
        <v>łódzkie</v>
      </c>
      <c r="F372">
        <v>1</v>
      </c>
      <c r="G372" t="str">
        <f>"Dom Ludowy w Komorowie, ul. Biblioteczna 1, Komorów, 97-200 Tomaszów Maz."</f>
        <v>Dom Ludowy w Komorowie, ul. Biblioteczna 1, Komorów, 97-200 Tomaszów Maz.</v>
      </c>
      <c r="H372">
        <v>1233</v>
      </c>
      <c r="I372">
        <v>1233</v>
      </c>
      <c r="J372">
        <v>0</v>
      </c>
      <c r="K372">
        <v>870</v>
      </c>
      <c r="L372">
        <v>587</v>
      </c>
      <c r="M372">
        <v>283</v>
      </c>
      <c r="N372">
        <v>283</v>
      </c>
      <c r="O372">
        <v>0</v>
      </c>
      <c r="P372">
        <v>0</v>
      </c>
      <c r="Q372">
        <v>1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283</v>
      </c>
      <c r="Z372">
        <v>0</v>
      </c>
      <c r="AA372">
        <v>0</v>
      </c>
      <c r="AB372">
        <v>283</v>
      </c>
      <c r="AC372">
        <v>8</v>
      </c>
      <c r="AD372">
        <v>275</v>
      </c>
      <c r="AE372">
        <v>9</v>
      </c>
      <c r="AF372">
        <v>6</v>
      </c>
      <c r="AG372">
        <v>1</v>
      </c>
      <c r="AH372">
        <v>0</v>
      </c>
      <c r="AI372">
        <v>1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1</v>
      </c>
      <c r="AP372">
        <v>9</v>
      </c>
      <c r="AQ372">
        <v>4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1</v>
      </c>
      <c r="AX372">
        <v>0</v>
      </c>
      <c r="AY372">
        <v>1</v>
      </c>
      <c r="AZ372">
        <v>1</v>
      </c>
      <c r="BA372">
        <v>1</v>
      </c>
      <c r="BB372">
        <v>4</v>
      </c>
      <c r="BC372">
        <v>14</v>
      </c>
      <c r="BD372">
        <v>4</v>
      </c>
      <c r="BE372">
        <v>1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9</v>
      </c>
      <c r="BN372">
        <v>14</v>
      </c>
      <c r="BO372">
        <v>183</v>
      </c>
      <c r="BP372">
        <v>143</v>
      </c>
      <c r="BQ372">
        <v>7</v>
      </c>
      <c r="BR372">
        <v>1</v>
      </c>
      <c r="BS372">
        <v>3</v>
      </c>
      <c r="BT372">
        <v>0</v>
      </c>
      <c r="BU372">
        <v>3</v>
      </c>
      <c r="BV372">
        <v>0</v>
      </c>
      <c r="BW372">
        <v>25</v>
      </c>
      <c r="BX372">
        <v>0</v>
      </c>
      <c r="BY372">
        <v>1</v>
      </c>
      <c r="BZ372">
        <v>183</v>
      </c>
      <c r="CA372">
        <v>9</v>
      </c>
      <c r="CB372">
        <v>2</v>
      </c>
      <c r="CC372">
        <v>0</v>
      </c>
      <c r="CD372">
        <v>7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9</v>
      </c>
      <c r="CM372">
        <v>5</v>
      </c>
      <c r="CN372">
        <v>2</v>
      </c>
      <c r="CO372">
        <v>2</v>
      </c>
      <c r="CP372">
        <v>1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5</v>
      </c>
      <c r="CY372">
        <v>7</v>
      </c>
      <c r="CZ372">
        <v>4</v>
      </c>
      <c r="DA372">
        <v>1</v>
      </c>
      <c r="DB372">
        <v>1</v>
      </c>
      <c r="DC372">
        <v>0</v>
      </c>
      <c r="DD372">
        <v>0</v>
      </c>
      <c r="DE372">
        <v>0</v>
      </c>
      <c r="DF372">
        <v>0</v>
      </c>
      <c r="DG372">
        <v>1</v>
      </c>
      <c r="DH372">
        <v>0</v>
      </c>
      <c r="DI372">
        <v>0</v>
      </c>
      <c r="DJ372">
        <v>7</v>
      </c>
      <c r="DK372">
        <v>24</v>
      </c>
      <c r="DL372">
        <v>10</v>
      </c>
      <c r="DM372">
        <v>2</v>
      </c>
      <c r="DN372">
        <v>0</v>
      </c>
      <c r="DO372">
        <v>0</v>
      </c>
      <c r="DP372">
        <v>10</v>
      </c>
      <c r="DQ372">
        <v>0</v>
      </c>
      <c r="DR372">
        <v>0</v>
      </c>
      <c r="DS372">
        <v>0</v>
      </c>
      <c r="DT372">
        <v>0</v>
      </c>
      <c r="DU372">
        <v>2</v>
      </c>
      <c r="DV372">
        <v>24</v>
      </c>
      <c r="DW372">
        <v>16</v>
      </c>
      <c r="DX372">
        <v>2</v>
      </c>
      <c r="DY372">
        <v>3</v>
      </c>
      <c r="DZ372">
        <v>0</v>
      </c>
      <c r="EA372">
        <v>3</v>
      </c>
      <c r="EB372">
        <v>0</v>
      </c>
      <c r="EC372">
        <v>6</v>
      </c>
      <c r="ED372">
        <v>1</v>
      </c>
      <c r="EE372">
        <v>0</v>
      </c>
      <c r="EF372">
        <v>0</v>
      </c>
      <c r="EG372">
        <v>1</v>
      </c>
      <c r="EH372">
        <v>16</v>
      </c>
      <c r="EI372">
        <v>1</v>
      </c>
      <c r="EJ372">
        <v>0</v>
      </c>
      <c r="EK372">
        <v>1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1</v>
      </c>
      <c r="ES372">
        <v>1</v>
      </c>
      <c r="ET372">
        <v>0</v>
      </c>
      <c r="EU372">
        <v>0</v>
      </c>
      <c r="EV372">
        <v>0</v>
      </c>
      <c r="EW372">
        <v>0</v>
      </c>
      <c r="EX372">
        <v>1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1</v>
      </c>
      <c r="FE372">
        <v>2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1</v>
      </c>
      <c r="FM372">
        <v>0</v>
      </c>
      <c r="FN372">
        <v>0</v>
      </c>
      <c r="FO372">
        <v>1</v>
      </c>
      <c r="FP372">
        <v>2</v>
      </c>
    </row>
    <row r="373" spans="1:172" ht="14.25">
      <c r="A373">
        <v>368</v>
      </c>
      <c r="B373" t="str">
        <f t="shared" si="66"/>
        <v>101609</v>
      </c>
      <c r="C373" t="str">
        <f t="shared" si="67"/>
        <v>Tomaszów Mazowiecki</v>
      </c>
      <c r="D373" t="str">
        <f t="shared" si="63"/>
        <v>tomaszowski</v>
      </c>
      <c r="E373" t="str">
        <f t="shared" si="62"/>
        <v>łódzkie</v>
      </c>
      <c r="F373">
        <v>2</v>
      </c>
      <c r="G373" t="str">
        <f>"Biblioteka w Wiadernie, Wiaderno 89, 97-200 Tomaszów Maz."</f>
        <v>Biblioteka w Wiadernie, Wiaderno 89, 97-200 Tomaszów Maz.</v>
      </c>
      <c r="H373">
        <v>1150</v>
      </c>
      <c r="I373">
        <v>1150</v>
      </c>
      <c r="J373">
        <v>0</v>
      </c>
      <c r="K373">
        <v>810</v>
      </c>
      <c r="L373">
        <v>565</v>
      </c>
      <c r="M373">
        <v>245</v>
      </c>
      <c r="N373">
        <v>245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245</v>
      </c>
      <c r="Z373">
        <v>0</v>
      </c>
      <c r="AA373">
        <v>0</v>
      </c>
      <c r="AB373">
        <v>245</v>
      </c>
      <c r="AC373">
        <v>10</v>
      </c>
      <c r="AD373">
        <v>235</v>
      </c>
      <c r="AE373">
        <v>7</v>
      </c>
      <c r="AF373">
        <v>3</v>
      </c>
      <c r="AG373">
        <v>2</v>
      </c>
      <c r="AH373">
        <v>1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1</v>
      </c>
      <c r="AO373">
        <v>0</v>
      </c>
      <c r="AP373">
        <v>7</v>
      </c>
      <c r="AQ373">
        <v>1</v>
      </c>
      <c r="AR373">
        <v>0</v>
      </c>
      <c r="AS373">
        <v>0</v>
      </c>
      <c r="AT373">
        <v>0</v>
      </c>
      <c r="AU373">
        <v>0</v>
      </c>
      <c r="AV373">
        <v>1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1</v>
      </c>
      <c r="BC373">
        <v>5</v>
      </c>
      <c r="BD373">
        <v>4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1</v>
      </c>
      <c r="BN373">
        <v>5</v>
      </c>
      <c r="BO373">
        <v>127</v>
      </c>
      <c r="BP373">
        <v>115</v>
      </c>
      <c r="BQ373">
        <v>1</v>
      </c>
      <c r="BR373">
        <v>4</v>
      </c>
      <c r="BS373">
        <v>0</v>
      </c>
      <c r="BT373">
        <v>0</v>
      </c>
      <c r="BU373">
        <v>5</v>
      </c>
      <c r="BV373">
        <v>0</v>
      </c>
      <c r="BW373">
        <v>0</v>
      </c>
      <c r="BX373">
        <v>0</v>
      </c>
      <c r="BY373">
        <v>2</v>
      </c>
      <c r="BZ373">
        <v>127</v>
      </c>
      <c r="CA373">
        <v>9</v>
      </c>
      <c r="CB373">
        <v>0</v>
      </c>
      <c r="CC373">
        <v>0</v>
      </c>
      <c r="CD373">
        <v>9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9</v>
      </c>
      <c r="CM373">
        <v>4</v>
      </c>
      <c r="CN373">
        <v>2</v>
      </c>
      <c r="CO373">
        <v>2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4</v>
      </c>
      <c r="CY373">
        <v>12</v>
      </c>
      <c r="CZ373">
        <v>7</v>
      </c>
      <c r="DA373">
        <v>0</v>
      </c>
      <c r="DB373">
        <v>0</v>
      </c>
      <c r="DC373">
        <v>1</v>
      </c>
      <c r="DD373">
        <v>0</v>
      </c>
      <c r="DE373">
        <v>0</v>
      </c>
      <c r="DF373">
        <v>0</v>
      </c>
      <c r="DG373">
        <v>2</v>
      </c>
      <c r="DH373">
        <v>2</v>
      </c>
      <c r="DI373">
        <v>0</v>
      </c>
      <c r="DJ373">
        <v>12</v>
      </c>
      <c r="DK373">
        <v>50</v>
      </c>
      <c r="DL373">
        <v>32</v>
      </c>
      <c r="DM373">
        <v>1</v>
      </c>
      <c r="DN373">
        <v>0</v>
      </c>
      <c r="DO373">
        <v>0</v>
      </c>
      <c r="DP373">
        <v>13</v>
      </c>
      <c r="DQ373">
        <v>2</v>
      </c>
      <c r="DR373">
        <v>0</v>
      </c>
      <c r="DS373">
        <v>1</v>
      </c>
      <c r="DT373">
        <v>0</v>
      </c>
      <c r="DU373">
        <v>1</v>
      </c>
      <c r="DV373">
        <v>50</v>
      </c>
      <c r="DW373">
        <v>19</v>
      </c>
      <c r="DX373">
        <v>0</v>
      </c>
      <c r="DY373">
        <v>10</v>
      </c>
      <c r="DZ373">
        <v>0</v>
      </c>
      <c r="EA373">
        <v>2</v>
      </c>
      <c r="EB373">
        <v>0</v>
      </c>
      <c r="EC373">
        <v>6</v>
      </c>
      <c r="ED373">
        <v>0</v>
      </c>
      <c r="EE373">
        <v>0</v>
      </c>
      <c r="EF373">
        <v>0</v>
      </c>
      <c r="EG373">
        <v>1</v>
      </c>
      <c r="EH373">
        <v>19</v>
      </c>
      <c r="EI373">
        <v>1</v>
      </c>
      <c r="EJ373">
        <v>0</v>
      </c>
      <c r="EK373">
        <v>1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1</v>
      </c>
      <c r="ES373">
        <v>0</v>
      </c>
      <c r="ET373">
        <v>0</v>
      </c>
      <c r="EU373">
        <v>0</v>
      </c>
      <c r="EV373">
        <v>0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</row>
    <row r="374" spans="1:172" ht="14.25">
      <c r="A374">
        <v>369</v>
      </c>
      <c r="B374" t="str">
        <f t="shared" si="66"/>
        <v>101609</v>
      </c>
      <c r="C374" t="str">
        <f t="shared" si="67"/>
        <v>Tomaszów Mazowiecki</v>
      </c>
      <c r="D374" t="str">
        <f t="shared" si="63"/>
        <v>tomaszowski</v>
      </c>
      <c r="E374" t="str">
        <f t="shared" si="62"/>
        <v>łódzkie</v>
      </c>
      <c r="F374">
        <v>3</v>
      </c>
      <c r="G374" t="str">
        <f>"Zespół Szkół w Zawadzie, Zawada 249/255, 97-200 Tomaszów Maz."</f>
        <v>Zespół Szkół w Zawadzie, Zawada 249/255, 97-200 Tomaszów Maz.</v>
      </c>
      <c r="H374">
        <v>1087</v>
      </c>
      <c r="I374">
        <v>1087</v>
      </c>
      <c r="J374">
        <v>0</v>
      </c>
      <c r="K374">
        <v>760</v>
      </c>
      <c r="L374">
        <v>553</v>
      </c>
      <c r="M374">
        <v>207</v>
      </c>
      <c r="N374">
        <v>207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207</v>
      </c>
      <c r="Z374">
        <v>0</v>
      </c>
      <c r="AA374">
        <v>0</v>
      </c>
      <c r="AB374">
        <v>207</v>
      </c>
      <c r="AC374">
        <v>7</v>
      </c>
      <c r="AD374">
        <v>200</v>
      </c>
      <c r="AE374">
        <v>3</v>
      </c>
      <c r="AF374">
        <v>0</v>
      </c>
      <c r="AG374">
        <v>1</v>
      </c>
      <c r="AH374">
        <v>1</v>
      </c>
      <c r="AI374">
        <v>0</v>
      </c>
      <c r="AJ374">
        <v>0</v>
      </c>
      <c r="AK374">
        <v>0</v>
      </c>
      <c r="AL374">
        <v>1</v>
      </c>
      <c r="AM374">
        <v>0</v>
      </c>
      <c r="AN374">
        <v>0</v>
      </c>
      <c r="AO374">
        <v>0</v>
      </c>
      <c r="AP374">
        <v>3</v>
      </c>
      <c r="AQ374">
        <v>1</v>
      </c>
      <c r="AR374">
        <v>0</v>
      </c>
      <c r="AS374">
        <v>1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1</v>
      </c>
      <c r="BC374">
        <v>8</v>
      </c>
      <c r="BD374">
        <v>3</v>
      </c>
      <c r="BE374">
        <v>0</v>
      </c>
      <c r="BF374">
        <v>0</v>
      </c>
      <c r="BG374">
        <v>1</v>
      </c>
      <c r="BH374">
        <v>0</v>
      </c>
      <c r="BI374">
        <v>1</v>
      </c>
      <c r="BJ374">
        <v>2</v>
      </c>
      <c r="BK374">
        <v>0</v>
      </c>
      <c r="BL374">
        <v>0</v>
      </c>
      <c r="BM374">
        <v>1</v>
      </c>
      <c r="BN374">
        <v>8</v>
      </c>
      <c r="BO374">
        <v>91</v>
      </c>
      <c r="BP374">
        <v>79</v>
      </c>
      <c r="BQ374">
        <v>0</v>
      </c>
      <c r="BR374">
        <v>0</v>
      </c>
      <c r="BS374">
        <v>0</v>
      </c>
      <c r="BT374">
        <v>0</v>
      </c>
      <c r="BU374">
        <v>6</v>
      </c>
      <c r="BV374">
        <v>0</v>
      </c>
      <c r="BW374">
        <v>6</v>
      </c>
      <c r="BX374">
        <v>0</v>
      </c>
      <c r="BY374">
        <v>0</v>
      </c>
      <c r="BZ374">
        <v>91</v>
      </c>
      <c r="CA374">
        <v>5</v>
      </c>
      <c r="CB374">
        <v>1</v>
      </c>
      <c r="CC374">
        <v>0</v>
      </c>
      <c r="CD374">
        <v>2</v>
      </c>
      <c r="CE374">
        <v>1</v>
      </c>
      <c r="CF374">
        <v>1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5</v>
      </c>
      <c r="CM374">
        <v>1</v>
      </c>
      <c r="CN374">
        <v>1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1</v>
      </c>
      <c r="CY374">
        <v>15</v>
      </c>
      <c r="CZ374">
        <v>11</v>
      </c>
      <c r="DA374">
        <v>0</v>
      </c>
      <c r="DB374">
        <v>0</v>
      </c>
      <c r="DC374">
        <v>0</v>
      </c>
      <c r="DD374">
        <v>0</v>
      </c>
      <c r="DE374">
        <v>1</v>
      </c>
      <c r="DF374">
        <v>0</v>
      </c>
      <c r="DG374">
        <v>1</v>
      </c>
      <c r="DH374">
        <v>1</v>
      </c>
      <c r="DI374">
        <v>1</v>
      </c>
      <c r="DJ374">
        <v>15</v>
      </c>
      <c r="DK374">
        <v>42</v>
      </c>
      <c r="DL374">
        <v>24</v>
      </c>
      <c r="DM374">
        <v>4</v>
      </c>
      <c r="DN374">
        <v>0</v>
      </c>
      <c r="DO374">
        <v>0</v>
      </c>
      <c r="DP374">
        <v>10</v>
      </c>
      <c r="DQ374">
        <v>0</v>
      </c>
      <c r="DR374">
        <v>2</v>
      </c>
      <c r="DS374">
        <v>1</v>
      </c>
      <c r="DT374">
        <v>0</v>
      </c>
      <c r="DU374">
        <v>1</v>
      </c>
      <c r="DV374">
        <v>42</v>
      </c>
      <c r="DW374">
        <v>33</v>
      </c>
      <c r="DX374">
        <v>1</v>
      </c>
      <c r="DY374">
        <v>15</v>
      </c>
      <c r="DZ374">
        <v>0</v>
      </c>
      <c r="EA374">
        <v>0</v>
      </c>
      <c r="EB374">
        <v>0</v>
      </c>
      <c r="EC374">
        <v>12</v>
      </c>
      <c r="ED374">
        <v>0</v>
      </c>
      <c r="EE374">
        <v>3</v>
      </c>
      <c r="EF374">
        <v>1</v>
      </c>
      <c r="EG374">
        <v>1</v>
      </c>
      <c r="EH374">
        <v>33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1</v>
      </c>
      <c r="FF374">
        <v>0</v>
      </c>
      <c r="FG374">
        <v>0</v>
      </c>
      <c r="FH374">
        <v>0</v>
      </c>
      <c r="FI374">
        <v>1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1</v>
      </c>
    </row>
    <row r="375" spans="1:172" ht="14.25">
      <c r="A375">
        <v>370</v>
      </c>
      <c r="B375" t="str">
        <f t="shared" si="66"/>
        <v>101609</v>
      </c>
      <c r="C375" t="str">
        <f t="shared" si="67"/>
        <v>Tomaszów Mazowiecki</v>
      </c>
      <c r="D375" t="str">
        <f t="shared" si="63"/>
        <v>tomaszowski</v>
      </c>
      <c r="E375" t="str">
        <f t="shared" si="62"/>
        <v>łódzkie</v>
      </c>
      <c r="F375">
        <v>4</v>
      </c>
      <c r="G375" t="str">
        <f>"Zespół Szkolno-Przedszkolny w Smardzewicach (szkoła), ul. Główna 10, 97-213 Smardzewice"</f>
        <v>Zespół Szkolno-Przedszkolny w Smardzewicach (szkoła), ul. Główna 10, 97-213 Smardzewice</v>
      </c>
      <c r="H375">
        <v>1174</v>
      </c>
      <c r="I375">
        <v>1174</v>
      </c>
      <c r="J375">
        <v>0</v>
      </c>
      <c r="K375">
        <v>820</v>
      </c>
      <c r="L375">
        <v>490</v>
      </c>
      <c r="M375">
        <v>330</v>
      </c>
      <c r="N375">
        <v>330</v>
      </c>
      <c r="O375">
        <v>0</v>
      </c>
      <c r="P375">
        <v>0</v>
      </c>
      <c r="Q375">
        <v>5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330</v>
      </c>
      <c r="Z375">
        <v>0</v>
      </c>
      <c r="AA375">
        <v>0</v>
      </c>
      <c r="AB375">
        <v>330</v>
      </c>
      <c r="AC375">
        <v>6</v>
      </c>
      <c r="AD375">
        <v>324</v>
      </c>
      <c r="AE375">
        <v>5</v>
      </c>
      <c r="AF375">
        <v>2</v>
      </c>
      <c r="AG375">
        <v>2</v>
      </c>
      <c r="AH375">
        <v>0</v>
      </c>
      <c r="AI375">
        <v>1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5</v>
      </c>
      <c r="AQ375">
        <v>1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1</v>
      </c>
      <c r="BA375">
        <v>0</v>
      </c>
      <c r="BB375">
        <v>1</v>
      </c>
      <c r="BC375">
        <v>16</v>
      </c>
      <c r="BD375">
        <v>11</v>
      </c>
      <c r="BE375">
        <v>1</v>
      </c>
      <c r="BF375">
        <v>0</v>
      </c>
      <c r="BG375">
        <v>4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16</v>
      </c>
      <c r="BO375">
        <v>154</v>
      </c>
      <c r="BP375">
        <v>125</v>
      </c>
      <c r="BQ375">
        <v>0</v>
      </c>
      <c r="BR375">
        <v>1</v>
      </c>
      <c r="BS375">
        <v>0</v>
      </c>
      <c r="BT375">
        <v>0</v>
      </c>
      <c r="BU375">
        <v>17</v>
      </c>
      <c r="BV375">
        <v>1</v>
      </c>
      <c r="BW375">
        <v>9</v>
      </c>
      <c r="BX375">
        <v>0</v>
      </c>
      <c r="BY375">
        <v>1</v>
      </c>
      <c r="BZ375">
        <v>154</v>
      </c>
      <c r="CA375">
        <v>3</v>
      </c>
      <c r="CB375">
        <v>0</v>
      </c>
      <c r="CC375">
        <v>1</v>
      </c>
      <c r="CD375">
        <v>1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1</v>
      </c>
      <c r="CL375">
        <v>3</v>
      </c>
      <c r="CM375">
        <v>9</v>
      </c>
      <c r="CN375">
        <v>4</v>
      </c>
      <c r="CO375">
        <v>0</v>
      </c>
      <c r="CP375">
        <v>3</v>
      </c>
      <c r="CQ375">
        <v>1</v>
      </c>
      <c r="CR375">
        <v>0</v>
      </c>
      <c r="CS375">
        <v>1</v>
      </c>
      <c r="CT375">
        <v>0</v>
      </c>
      <c r="CU375">
        <v>0</v>
      </c>
      <c r="CV375">
        <v>0</v>
      </c>
      <c r="CW375">
        <v>0</v>
      </c>
      <c r="CX375">
        <v>9</v>
      </c>
      <c r="CY375">
        <v>18</v>
      </c>
      <c r="CZ375">
        <v>14</v>
      </c>
      <c r="DA375">
        <v>1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1</v>
      </c>
      <c r="DI375">
        <v>2</v>
      </c>
      <c r="DJ375">
        <v>18</v>
      </c>
      <c r="DK375">
        <v>86</v>
      </c>
      <c r="DL375">
        <v>57</v>
      </c>
      <c r="DM375">
        <v>11</v>
      </c>
      <c r="DN375">
        <v>0</v>
      </c>
      <c r="DO375">
        <v>0</v>
      </c>
      <c r="DP375">
        <v>10</v>
      </c>
      <c r="DQ375">
        <v>1</v>
      </c>
      <c r="DR375">
        <v>4</v>
      </c>
      <c r="DS375">
        <v>1</v>
      </c>
      <c r="DT375">
        <v>0</v>
      </c>
      <c r="DU375">
        <v>2</v>
      </c>
      <c r="DV375">
        <v>86</v>
      </c>
      <c r="DW375">
        <v>32</v>
      </c>
      <c r="DX375">
        <v>5</v>
      </c>
      <c r="DY375">
        <v>12</v>
      </c>
      <c r="DZ375">
        <v>0</v>
      </c>
      <c r="EA375">
        <v>3</v>
      </c>
      <c r="EB375">
        <v>1</v>
      </c>
      <c r="EC375">
        <v>7</v>
      </c>
      <c r="ED375">
        <v>1</v>
      </c>
      <c r="EE375">
        <v>0</v>
      </c>
      <c r="EF375">
        <v>1</v>
      </c>
      <c r="EG375">
        <v>2</v>
      </c>
      <c r="EH375">
        <v>32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0</v>
      </c>
      <c r="ES375">
        <v>0</v>
      </c>
      <c r="ET375">
        <v>0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0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</row>
    <row r="376" spans="1:172" ht="14.25">
      <c r="A376">
        <v>371</v>
      </c>
      <c r="B376" t="str">
        <f t="shared" si="66"/>
        <v>101609</v>
      </c>
      <c r="C376" t="str">
        <f t="shared" si="67"/>
        <v>Tomaszów Mazowiecki</v>
      </c>
      <c r="D376" t="str">
        <f t="shared" si="63"/>
        <v>tomaszowski</v>
      </c>
      <c r="E376" t="str">
        <f t="shared" si="62"/>
        <v>łódzkie</v>
      </c>
      <c r="F376">
        <v>5</v>
      </c>
      <c r="G376" t="str">
        <f>"Zespół Szkolno-Przedszkolny w Smardzewicach (przedszkole), ul. Główna 10, 97-213 Smardzewice"</f>
        <v>Zespół Szkolno-Przedszkolny w Smardzewicach (przedszkole), ul. Główna 10, 97-213 Smardzewice</v>
      </c>
      <c r="H376">
        <v>575</v>
      </c>
      <c r="I376">
        <v>575</v>
      </c>
      <c r="J376">
        <v>0</v>
      </c>
      <c r="K376">
        <v>400</v>
      </c>
      <c r="L376">
        <v>227</v>
      </c>
      <c r="M376">
        <v>173</v>
      </c>
      <c r="N376">
        <v>173</v>
      </c>
      <c r="O376">
        <v>0</v>
      </c>
      <c r="P376">
        <v>0</v>
      </c>
      <c r="Q376">
        <v>2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173</v>
      </c>
      <c r="Z376">
        <v>0</v>
      </c>
      <c r="AA376">
        <v>0</v>
      </c>
      <c r="AB376">
        <v>173</v>
      </c>
      <c r="AC376">
        <v>3</v>
      </c>
      <c r="AD376">
        <v>170</v>
      </c>
      <c r="AE376">
        <v>7</v>
      </c>
      <c r="AF376">
        <v>2</v>
      </c>
      <c r="AG376">
        <v>1</v>
      </c>
      <c r="AH376">
        <v>0</v>
      </c>
      <c r="AI376">
        <v>0</v>
      </c>
      <c r="AJ376">
        <v>3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7</v>
      </c>
      <c r="AQ376">
        <v>2</v>
      </c>
      <c r="AR376">
        <v>2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2</v>
      </c>
      <c r="BC376">
        <v>6</v>
      </c>
      <c r="BD376">
        <v>2</v>
      </c>
      <c r="BE376">
        <v>1</v>
      </c>
      <c r="BF376">
        <v>0</v>
      </c>
      <c r="BG376">
        <v>0</v>
      </c>
      <c r="BH376">
        <v>1</v>
      </c>
      <c r="BI376">
        <v>0</v>
      </c>
      <c r="BJ376">
        <v>1</v>
      </c>
      <c r="BK376">
        <v>1</v>
      </c>
      <c r="BL376">
        <v>0</v>
      </c>
      <c r="BM376">
        <v>0</v>
      </c>
      <c r="BN376">
        <v>6</v>
      </c>
      <c r="BO376">
        <v>86</v>
      </c>
      <c r="BP376">
        <v>65</v>
      </c>
      <c r="BQ376">
        <v>2</v>
      </c>
      <c r="BR376">
        <v>2</v>
      </c>
      <c r="BS376">
        <v>2</v>
      </c>
      <c r="BT376">
        <v>0</v>
      </c>
      <c r="BU376">
        <v>6</v>
      </c>
      <c r="BV376">
        <v>0</v>
      </c>
      <c r="BW376">
        <v>8</v>
      </c>
      <c r="BX376">
        <v>1</v>
      </c>
      <c r="BY376">
        <v>0</v>
      </c>
      <c r="BZ376">
        <v>86</v>
      </c>
      <c r="CA376">
        <v>2</v>
      </c>
      <c r="CB376">
        <v>0</v>
      </c>
      <c r="CC376">
        <v>0</v>
      </c>
      <c r="CD376">
        <v>2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2</v>
      </c>
      <c r="CM376">
        <v>2</v>
      </c>
      <c r="CN376">
        <v>0</v>
      </c>
      <c r="CO376">
        <v>1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1</v>
      </c>
      <c r="CW376">
        <v>0</v>
      </c>
      <c r="CX376">
        <v>2</v>
      </c>
      <c r="CY376">
        <v>12</v>
      </c>
      <c r="CZ376">
        <v>9</v>
      </c>
      <c r="DA376">
        <v>0</v>
      </c>
      <c r="DB376">
        <v>3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12</v>
      </c>
      <c r="DK376">
        <v>34</v>
      </c>
      <c r="DL376">
        <v>27</v>
      </c>
      <c r="DM376">
        <v>2</v>
      </c>
      <c r="DN376">
        <v>3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1</v>
      </c>
      <c r="DU376">
        <v>1</v>
      </c>
      <c r="DV376">
        <v>34</v>
      </c>
      <c r="DW376">
        <v>17</v>
      </c>
      <c r="DX376">
        <v>1</v>
      </c>
      <c r="DY376">
        <v>8</v>
      </c>
      <c r="DZ376">
        <v>0</v>
      </c>
      <c r="EA376">
        <v>1</v>
      </c>
      <c r="EB376">
        <v>0</v>
      </c>
      <c r="EC376">
        <v>4</v>
      </c>
      <c r="ED376">
        <v>0</v>
      </c>
      <c r="EE376">
        <v>1</v>
      </c>
      <c r="EF376">
        <v>0</v>
      </c>
      <c r="EG376">
        <v>2</v>
      </c>
      <c r="EH376">
        <v>17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2</v>
      </c>
      <c r="ET376">
        <v>1</v>
      </c>
      <c r="EU376">
        <v>0</v>
      </c>
      <c r="EV376">
        <v>0</v>
      </c>
      <c r="EW376">
        <v>0</v>
      </c>
      <c r="EX376">
        <v>0</v>
      </c>
      <c r="EY376">
        <v>1</v>
      </c>
      <c r="EZ376">
        <v>0</v>
      </c>
      <c r="FA376">
        <v>0</v>
      </c>
      <c r="FB376">
        <v>0</v>
      </c>
      <c r="FC376">
        <v>0</v>
      </c>
      <c r="FD376">
        <v>2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</row>
    <row r="377" spans="1:172" ht="14.25">
      <c r="A377">
        <v>372</v>
      </c>
      <c r="B377" t="str">
        <f t="shared" si="66"/>
        <v>101609</v>
      </c>
      <c r="C377" t="str">
        <f t="shared" si="67"/>
        <v>Tomaszów Mazowiecki</v>
      </c>
      <c r="D377" t="str">
        <f t="shared" si="63"/>
        <v>tomaszowski</v>
      </c>
      <c r="E377" t="str">
        <f t="shared" si="62"/>
        <v>łódzkie</v>
      </c>
      <c r="F377">
        <v>6</v>
      </c>
      <c r="G377" t="str">
        <f>"Zespół Szkolno-Przedszkolny w Smardzewicach Oddział w Twardej (przedszkole), ul. Główna 117, Twarda, 97-213 Smardzewice"</f>
        <v>Zespół Szkolno-Przedszkolny w Smardzewicach Oddział w Twardej (przedszkole), ul. Główna 117, Twarda, 97-213 Smardzewice</v>
      </c>
      <c r="H377">
        <v>602</v>
      </c>
      <c r="I377">
        <v>602</v>
      </c>
      <c r="J377">
        <v>0</v>
      </c>
      <c r="K377">
        <v>420</v>
      </c>
      <c r="L377">
        <v>277</v>
      </c>
      <c r="M377">
        <v>143</v>
      </c>
      <c r="N377">
        <v>143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143</v>
      </c>
      <c r="Z377">
        <v>0</v>
      </c>
      <c r="AA377">
        <v>0</v>
      </c>
      <c r="AB377">
        <v>143</v>
      </c>
      <c r="AC377">
        <v>8</v>
      </c>
      <c r="AD377">
        <v>135</v>
      </c>
      <c r="AE377">
        <v>3</v>
      </c>
      <c r="AF377">
        <v>2</v>
      </c>
      <c r="AG377">
        <v>0</v>
      </c>
      <c r="AH377">
        <v>1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3</v>
      </c>
      <c r="AQ377">
        <v>1</v>
      </c>
      <c r="AR377">
        <v>1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1</v>
      </c>
      <c r="BC377">
        <v>3</v>
      </c>
      <c r="BD377">
        <v>1</v>
      </c>
      <c r="BE377">
        <v>0</v>
      </c>
      <c r="BF377">
        <v>0</v>
      </c>
      <c r="BG377">
        <v>1</v>
      </c>
      <c r="BH377">
        <v>1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3</v>
      </c>
      <c r="BO377">
        <v>86</v>
      </c>
      <c r="BP377">
        <v>69</v>
      </c>
      <c r="BQ377">
        <v>2</v>
      </c>
      <c r="BR377">
        <v>2</v>
      </c>
      <c r="BS377">
        <v>0</v>
      </c>
      <c r="BT377">
        <v>0</v>
      </c>
      <c r="BU377">
        <v>9</v>
      </c>
      <c r="BV377">
        <v>1</v>
      </c>
      <c r="BW377">
        <v>3</v>
      </c>
      <c r="BX377">
        <v>0</v>
      </c>
      <c r="BY377">
        <v>0</v>
      </c>
      <c r="BZ377">
        <v>86</v>
      </c>
      <c r="CA377">
        <v>4</v>
      </c>
      <c r="CB377">
        <v>0</v>
      </c>
      <c r="CC377">
        <v>0</v>
      </c>
      <c r="CD377">
        <v>4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4</v>
      </c>
      <c r="CM377">
        <v>1</v>
      </c>
      <c r="CN377">
        <v>0</v>
      </c>
      <c r="CO377">
        <v>1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1</v>
      </c>
      <c r="CY377">
        <v>8</v>
      </c>
      <c r="CZ377">
        <v>7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1</v>
      </c>
      <c r="DI377">
        <v>0</v>
      </c>
      <c r="DJ377">
        <v>8</v>
      </c>
      <c r="DK377">
        <v>13</v>
      </c>
      <c r="DL377">
        <v>5</v>
      </c>
      <c r="DM377">
        <v>1</v>
      </c>
      <c r="DN377">
        <v>0</v>
      </c>
      <c r="DO377">
        <v>0</v>
      </c>
      <c r="DP377">
        <v>4</v>
      </c>
      <c r="DQ377">
        <v>0</v>
      </c>
      <c r="DR377">
        <v>0</v>
      </c>
      <c r="DS377">
        <v>1</v>
      </c>
      <c r="DT377">
        <v>0</v>
      </c>
      <c r="DU377">
        <v>2</v>
      </c>
      <c r="DV377">
        <v>13</v>
      </c>
      <c r="DW377">
        <v>13</v>
      </c>
      <c r="DX377">
        <v>0</v>
      </c>
      <c r="DY377">
        <v>6</v>
      </c>
      <c r="DZ377">
        <v>0</v>
      </c>
      <c r="EA377">
        <v>0</v>
      </c>
      <c r="EB377">
        <v>0</v>
      </c>
      <c r="EC377">
        <v>3</v>
      </c>
      <c r="ED377">
        <v>0</v>
      </c>
      <c r="EE377">
        <v>0</v>
      </c>
      <c r="EF377">
        <v>0</v>
      </c>
      <c r="EG377">
        <v>4</v>
      </c>
      <c r="EH377">
        <v>13</v>
      </c>
      <c r="EI377">
        <v>2</v>
      </c>
      <c r="EJ377">
        <v>1</v>
      </c>
      <c r="EK377">
        <v>1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2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1</v>
      </c>
      <c r="FF377">
        <v>0</v>
      </c>
      <c r="FG377">
        <v>0</v>
      </c>
      <c r="FH377">
        <v>1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1</v>
      </c>
    </row>
    <row r="378" spans="1:172" ht="14.25">
      <c r="A378">
        <v>373</v>
      </c>
      <c r="B378" t="str">
        <f t="shared" si="66"/>
        <v>101609</v>
      </c>
      <c r="C378" t="str">
        <f t="shared" si="67"/>
        <v>Tomaszów Mazowiecki</v>
      </c>
      <c r="D378" t="str">
        <f t="shared" si="63"/>
        <v>tomaszowski</v>
      </c>
      <c r="E378" t="str">
        <f t="shared" si="62"/>
        <v>łódzkie</v>
      </c>
      <c r="F378">
        <v>7</v>
      </c>
      <c r="G378" t="str">
        <f>"Dom Ludowy w Ciebłowicach Dużych, Ciebłowice Duże 132a, 97-200 Tomaszów Maz."</f>
        <v>Dom Ludowy w Ciebłowicach Dużych, Ciebłowice Duże 132a, 97-200 Tomaszów Maz.</v>
      </c>
      <c r="H378">
        <v>586</v>
      </c>
      <c r="I378">
        <v>586</v>
      </c>
      <c r="J378">
        <v>0</v>
      </c>
      <c r="K378">
        <v>410</v>
      </c>
      <c r="L378">
        <v>307</v>
      </c>
      <c r="M378">
        <v>103</v>
      </c>
      <c r="N378">
        <v>103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103</v>
      </c>
      <c r="Z378">
        <v>0</v>
      </c>
      <c r="AA378">
        <v>0</v>
      </c>
      <c r="AB378">
        <v>103</v>
      </c>
      <c r="AC378">
        <v>2</v>
      </c>
      <c r="AD378">
        <v>101</v>
      </c>
      <c r="AE378">
        <v>2</v>
      </c>
      <c r="AF378">
        <v>1</v>
      </c>
      <c r="AG378">
        <v>0</v>
      </c>
      <c r="AH378">
        <v>1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2</v>
      </c>
      <c r="AQ378">
        <v>1</v>
      </c>
      <c r="AR378">
        <v>0</v>
      </c>
      <c r="AS378">
        <v>1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1</v>
      </c>
      <c r="BC378">
        <v>7</v>
      </c>
      <c r="BD378">
        <v>3</v>
      </c>
      <c r="BE378">
        <v>1</v>
      </c>
      <c r="BF378">
        <v>1</v>
      </c>
      <c r="BG378">
        <v>0</v>
      </c>
      <c r="BH378">
        <v>0</v>
      </c>
      <c r="BI378">
        <v>0</v>
      </c>
      <c r="BJ378">
        <v>0</v>
      </c>
      <c r="BK378">
        <v>1</v>
      </c>
      <c r="BL378">
        <v>1</v>
      </c>
      <c r="BM378">
        <v>0</v>
      </c>
      <c r="BN378">
        <v>7</v>
      </c>
      <c r="BO378">
        <v>63</v>
      </c>
      <c r="BP378">
        <v>54</v>
      </c>
      <c r="BQ378">
        <v>1</v>
      </c>
      <c r="BR378">
        <v>0</v>
      </c>
      <c r="BS378">
        <v>0</v>
      </c>
      <c r="BT378">
        <v>0</v>
      </c>
      <c r="BU378">
        <v>2</v>
      </c>
      <c r="BV378">
        <v>0</v>
      </c>
      <c r="BW378">
        <v>6</v>
      </c>
      <c r="BX378">
        <v>0</v>
      </c>
      <c r="BY378">
        <v>0</v>
      </c>
      <c r="BZ378">
        <v>63</v>
      </c>
      <c r="CA378">
        <v>2</v>
      </c>
      <c r="CB378">
        <v>1</v>
      </c>
      <c r="CC378">
        <v>0</v>
      </c>
      <c r="CD378">
        <v>1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2</v>
      </c>
      <c r="CM378">
        <v>1</v>
      </c>
      <c r="CN378">
        <v>0</v>
      </c>
      <c r="CO378">
        <v>1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1</v>
      </c>
      <c r="CY378">
        <v>8</v>
      </c>
      <c r="CZ378">
        <v>8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8</v>
      </c>
      <c r="DK378">
        <v>16</v>
      </c>
      <c r="DL378">
        <v>4</v>
      </c>
      <c r="DM378">
        <v>7</v>
      </c>
      <c r="DN378">
        <v>0</v>
      </c>
      <c r="DO378">
        <v>0</v>
      </c>
      <c r="DP378">
        <v>5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16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1</v>
      </c>
      <c r="EJ378">
        <v>1</v>
      </c>
      <c r="EK378">
        <v>0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1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</row>
    <row r="379" spans="1:172" ht="14.25">
      <c r="A379">
        <v>374</v>
      </c>
      <c r="B379" t="str">
        <f t="shared" si="66"/>
        <v>101609</v>
      </c>
      <c r="C379" t="str">
        <f t="shared" si="67"/>
        <v>Tomaszów Mazowiecki</v>
      </c>
      <c r="D379" t="str">
        <f aca="true" t="shared" si="68" ref="D379:D392">"tomaszowski"</f>
        <v>tomaszowski</v>
      </c>
      <c r="E379" t="str">
        <f t="shared" si="62"/>
        <v>łódzkie</v>
      </c>
      <c r="F379">
        <v>8</v>
      </c>
      <c r="G379" t="str">
        <f>"Publiczne Przedszkole w Wąwale, ul. Tomaszowska 2, Wąwał, 97-200 Tomaszów Maz."</f>
        <v>Publiczne Przedszkole w Wąwale, ul. Tomaszowska 2, Wąwał, 97-200 Tomaszów Maz.</v>
      </c>
      <c r="H379">
        <v>1071</v>
      </c>
      <c r="I379">
        <v>1071</v>
      </c>
      <c r="J379">
        <v>0</v>
      </c>
      <c r="K379">
        <v>760</v>
      </c>
      <c r="L379">
        <v>535</v>
      </c>
      <c r="M379">
        <v>225</v>
      </c>
      <c r="N379">
        <v>225</v>
      </c>
      <c r="O379">
        <v>0</v>
      </c>
      <c r="P379">
        <v>0</v>
      </c>
      <c r="Q379">
        <v>2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225</v>
      </c>
      <c r="Z379">
        <v>0</v>
      </c>
      <c r="AA379">
        <v>0</v>
      </c>
      <c r="AB379">
        <v>225</v>
      </c>
      <c r="AC379">
        <v>5</v>
      </c>
      <c r="AD379">
        <v>220</v>
      </c>
      <c r="AE379">
        <v>8</v>
      </c>
      <c r="AF379">
        <v>5</v>
      </c>
      <c r="AG379">
        <v>0</v>
      </c>
      <c r="AH379">
        <v>0</v>
      </c>
      <c r="AI379">
        <v>0</v>
      </c>
      <c r="AJ379">
        <v>2</v>
      </c>
      <c r="AK379">
        <v>0</v>
      </c>
      <c r="AL379">
        <v>0</v>
      </c>
      <c r="AM379">
        <v>0</v>
      </c>
      <c r="AN379">
        <v>1</v>
      </c>
      <c r="AO379">
        <v>0</v>
      </c>
      <c r="AP379">
        <v>8</v>
      </c>
      <c r="AQ379">
        <v>1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1</v>
      </c>
      <c r="AY379">
        <v>0</v>
      </c>
      <c r="AZ379">
        <v>0</v>
      </c>
      <c r="BA379">
        <v>0</v>
      </c>
      <c r="BB379">
        <v>1</v>
      </c>
      <c r="BC379">
        <v>21</v>
      </c>
      <c r="BD379">
        <v>17</v>
      </c>
      <c r="BE379">
        <v>0</v>
      </c>
      <c r="BF379">
        <v>0</v>
      </c>
      <c r="BG379">
        <v>3</v>
      </c>
      <c r="BH379">
        <v>1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21</v>
      </c>
      <c r="BO379">
        <v>64</v>
      </c>
      <c r="BP379">
        <v>50</v>
      </c>
      <c r="BQ379">
        <v>0</v>
      </c>
      <c r="BR379">
        <v>6</v>
      </c>
      <c r="BS379">
        <v>1</v>
      </c>
      <c r="BT379">
        <v>0</v>
      </c>
      <c r="BU379">
        <v>1</v>
      </c>
      <c r="BV379">
        <v>0</v>
      </c>
      <c r="BW379">
        <v>6</v>
      </c>
      <c r="BX379">
        <v>0</v>
      </c>
      <c r="BY379">
        <v>0</v>
      </c>
      <c r="BZ379">
        <v>64</v>
      </c>
      <c r="CA379">
        <v>8</v>
      </c>
      <c r="CB379">
        <v>1</v>
      </c>
      <c r="CC379">
        <v>0</v>
      </c>
      <c r="CD379">
        <v>6</v>
      </c>
      <c r="CE379">
        <v>1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8</v>
      </c>
      <c r="CM379">
        <v>13</v>
      </c>
      <c r="CN379">
        <v>5</v>
      </c>
      <c r="CO379">
        <v>8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13</v>
      </c>
      <c r="CY379">
        <v>21</v>
      </c>
      <c r="CZ379">
        <v>14</v>
      </c>
      <c r="DA379">
        <v>3</v>
      </c>
      <c r="DB379">
        <v>0</v>
      </c>
      <c r="DC379">
        <v>1</v>
      </c>
      <c r="DD379">
        <v>0</v>
      </c>
      <c r="DE379">
        <v>0</v>
      </c>
      <c r="DF379">
        <v>1</v>
      </c>
      <c r="DG379">
        <v>1</v>
      </c>
      <c r="DH379">
        <v>1</v>
      </c>
      <c r="DI379">
        <v>0</v>
      </c>
      <c r="DJ379">
        <v>21</v>
      </c>
      <c r="DK379">
        <v>65</v>
      </c>
      <c r="DL379">
        <v>35</v>
      </c>
      <c r="DM379">
        <v>15</v>
      </c>
      <c r="DN379">
        <v>1</v>
      </c>
      <c r="DO379">
        <v>0</v>
      </c>
      <c r="DP379">
        <v>12</v>
      </c>
      <c r="DQ379">
        <v>1</v>
      </c>
      <c r="DR379">
        <v>0</v>
      </c>
      <c r="DS379">
        <v>0</v>
      </c>
      <c r="DT379">
        <v>1</v>
      </c>
      <c r="DU379">
        <v>0</v>
      </c>
      <c r="DV379">
        <v>65</v>
      </c>
      <c r="DW379">
        <v>16</v>
      </c>
      <c r="DX379">
        <v>2</v>
      </c>
      <c r="DY379">
        <v>7</v>
      </c>
      <c r="DZ379">
        <v>0</v>
      </c>
      <c r="EA379">
        <v>0</v>
      </c>
      <c r="EB379">
        <v>0</v>
      </c>
      <c r="EC379">
        <v>4</v>
      </c>
      <c r="ED379">
        <v>0</v>
      </c>
      <c r="EE379">
        <v>2</v>
      </c>
      <c r="EF379">
        <v>0</v>
      </c>
      <c r="EG379">
        <v>1</v>
      </c>
      <c r="EH379">
        <v>16</v>
      </c>
      <c r="EI379">
        <v>1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1</v>
      </c>
      <c r="ER379">
        <v>1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2</v>
      </c>
      <c r="FF379">
        <v>1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1</v>
      </c>
      <c r="FP379">
        <v>2</v>
      </c>
    </row>
    <row r="380" spans="1:172" ht="14.25">
      <c r="A380">
        <v>375</v>
      </c>
      <c r="B380" t="str">
        <f t="shared" si="66"/>
        <v>101609</v>
      </c>
      <c r="C380" t="str">
        <f t="shared" si="67"/>
        <v>Tomaszów Mazowiecki</v>
      </c>
      <c r="D380" t="str">
        <f t="shared" si="68"/>
        <v>tomaszowski</v>
      </c>
      <c r="E380" t="str">
        <f t="shared" si="62"/>
        <v>łódzkie</v>
      </c>
      <c r="F380">
        <v>9</v>
      </c>
      <c r="G380" t="str">
        <f>"Szkoła Podstawowa w Chorzęcinie, Chorzęcin 75, 97-200 Tomaszów Maz."</f>
        <v>Szkoła Podstawowa w Chorzęcinie, Chorzęcin 75, 97-200 Tomaszów Maz.</v>
      </c>
      <c r="H380">
        <v>1028</v>
      </c>
      <c r="I380">
        <v>1028</v>
      </c>
      <c r="J380">
        <v>0</v>
      </c>
      <c r="K380">
        <v>720</v>
      </c>
      <c r="L380">
        <v>499</v>
      </c>
      <c r="M380">
        <v>221</v>
      </c>
      <c r="N380">
        <v>221</v>
      </c>
      <c r="O380">
        <v>0</v>
      </c>
      <c r="P380">
        <v>0</v>
      </c>
      <c r="Q380">
        <v>1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221</v>
      </c>
      <c r="Z380">
        <v>0</v>
      </c>
      <c r="AA380">
        <v>0</v>
      </c>
      <c r="AB380">
        <v>221</v>
      </c>
      <c r="AC380">
        <v>6</v>
      </c>
      <c r="AD380">
        <v>215</v>
      </c>
      <c r="AE380">
        <v>6</v>
      </c>
      <c r="AF380">
        <v>3</v>
      </c>
      <c r="AG380">
        <v>0</v>
      </c>
      <c r="AH380">
        <v>1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1</v>
      </c>
      <c r="AO380">
        <v>1</v>
      </c>
      <c r="AP380">
        <v>6</v>
      </c>
      <c r="AQ380">
        <v>1</v>
      </c>
      <c r="AR380">
        <v>1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1</v>
      </c>
      <c r="BC380">
        <v>5</v>
      </c>
      <c r="BD380">
        <v>2</v>
      </c>
      <c r="BE380">
        <v>0</v>
      </c>
      <c r="BF380">
        <v>0</v>
      </c>
      <c r="BG380">
        <v>1</v>
      </c>
      <c r="BH380">
        <v>1</v>
      </c>
      <c r="BI380">
        <v>0</v>
      </c>
      <c r="BJ380">
        <v>0</v>
      </c>
      <c r="BK380">
        <v>0</v>
      </c>
      <c r="BL380">
        <v>0</v>
      </c>
      <c r="BM380">
        <v>1</v>
      </c>
      <c r="BN380">
        <v>5</v>
      </c>
      <c r="BO380">
        <v>107</v>
      </c>
      <c r="BP380">
        <v>99</v>
      </c>
      <c r="BQ380">
        <v>0</v>
      </c>
      <c r="BR380">
        <v>1</v>
      </c>
      <c r="BS380">
        <v>1</v>
      </c>
      <c r="BT380">
        <v>1</v>
      </c>
      <c r="BU380">
        <v>2</v>
      </c>
      <c r="BV380">
        <v>1</v>
      </c>
      <c r="BW380">
        <v>1</v>
      </c>
      <c r="BX380">
        <v>0</v>
      </c>
      <c r="BY380">
        <v>1</v>
      </c>
      <c r="BZ380">
        <v>107</v>
      </c>
      <c r="CA380">
        <v>3</v>
      </c>
      <c r="CB380">
        <v>0</v>
      </c>
      <c r="CC380">
        <v>0</v>
      </c>
      <c r="CD380">
        <v>1</v>
      </c>
      <c r="CE380">
        <v>0</v>
      </c>
      <c r="CF380">
        <v>0</v>
      </c>
      <c r="CG380">
        <v>1</v>
      </c>
      <c r="CH380">
        <v>0</v>
      </c>
      <c r="CI380">
        <v>1</v>
      </c>
      <c r="CJ380">
        <v>0</v>
      </c>
      <c r="CK380">
        <v>0</v>
      </c>
      <c r="CL380">
        <v>3</v>
      </c>
      <c r="CM380">
        <v>3</v>
      </c>
      <c r="CN380">
        <v>1</v>
      </c>
      <c r="CO380">
        <v>2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3</v>
      </c>
      <c r="CY380">
        <v>15</v>
      </c>
      <c r="CZ380">
        <v>13</v>
      </c>
      <c r="DA380">
        <v>1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1</v>
      </c>
      <c r="DJ380">
        <v>15</v>
      </c>
      <c r="DK380">
        <v>33</v>
      </c>
      <c r="DL380">
        <v>17</v>
      </c>
      <c r="DM380">
        <v>3</v>
      </c>
      <c r="DN380">
        <v>0</v>
      </c>
      <c r="DO380">
        <v>0</v>
      </c>
      <c r="DP380">
        <v>10</v>
      </c>
      <c r="DQ380">
        <v>0</v>
      </c>
      <c r="DR380">
        <v>2</v>
      </c>
      <c r="DS380">
        <v>0</v>
      </c>
      <c r="DT380">
        <v>0</v>
      </c>
      <c r="DU380">
        <v>1</v>
      </c>
      <c r="DV380">
        <v>33</v>
      </c>
      <c r="DW380">
        <v>41</v>
      </c>
      <c r="DX380">
        <v>0</v>
      </c>
      <c r="DY380">
        <v>12</v>
      </c>
      <c r="DZ380">
        <v>0</v>
      </c>
      <c r="EA380">
        <v>0</v>
      </c>
      <c r="EB380">
        <v>0</v>
      </c>
      <c r="EC380">
        <v>21</v>
      </c>
      <c r="ED380">
        <v>0</v>
      </c>
      <c r="EE380">
        <v>2</v>
      </c>
      <c r="EF380">
        <v>3</v>
      </c>
      <c r="EG380">
        <v>3</v>
      </c>
      <c r="EH380">
        <v>41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1</v>
      </c>
      <c r="FF380">
        <v>0</v>
      </c>
      <c r="FG380">
        <v>0</v>
      </c>
      <c r="FH380">
        <v>0</v>
      </c>
      <c r="FI380">
        <v>1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1</v>
      </c>
    </row>
    <row r="381" spans="1:172" ht="14.25">
      <c r="A381">
        <v>376</v>
      </c>
      <c r="B381" t="str">
        <f aca="true" t="shared" si="69" ref="B381:B388">"101610"</f>
        <v>101610</v>
      </c>
      <c r="C381" t="str">
        <f aca="true" t="shared" si="70" ref="C381:C388">"Ujazd"</f>
        <v>Ujazd</v>
      </c>
      <c r="D381" t="str">
        <f t="shared" si="68"/>
        <v>tomaszowski</v>
      </c>
      <c r="E381" t="str">
        <f t="shared" si="62"/>
        <v>łódzkie</v>
      </c>
      <c r="F381">
        <v>1</v>
      </c>
      <c r="G381" t="str">
        <f>"Gminna Hala Sportowa w Ujeździe, ul. Rokicińska 6, 97-225 Ujazd"</f>
        <v>Gminna Hala Sportowa w Ujeździe, ul. Rokicińska 6, 97-225 Ujazd</v>
      </c>
      <c r="H381">
        <v>972</v>
      </c>
      <c r="I381">
        <v>972</v>
      </c>
      <c r="J381">
        <v>0</v>
      </c>
      <c r="K381">
        <v>685</v>
      </c>
      <c r="L381">
        <v>469</v>
      </c>
      <c r="M381">
        <v>216</v>
      </c>
      <c r="N381">
        <v>216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216</v>
      </c>
      <c r="Z381">
        <v>0</v>
      </c>
      <c r="AA381">
        <v>0</v>
      </c>
      <c r="AB381">
        <v>216</v>
      </c>
      <c r="AC381">
        <v>7</v>
      </c>
      <c r="AD381">
        <v>209</v>
      </c>
      <c r="AE381">
        <v>4</v>
      </c>
      <c r="AF381">
        <v>0</v>
      </c>
      <c r="AG381">
        <v>0</v>
      </c>
      <c r="AH381">
        <v>1</v>
      </c>
      <c r="AI381">
        <v>0</v>
      </c>
      <c r="AJ381">
        <v>0</v>
      </c>
      <c r="AK381">
        <v>1</v>
      </c>
      <c r="AL381">
        <v>1</v>
      </c>
      <c r="AM381">
        <v>0</v>
      </c>
      <c r="AN381">
        <v>0</v>
      </c>
      <c r="AO381">
        <v>1</v>
      </c>
      <c r="AP381">
        <v>4</v>
      </c>
      <c r="AQ381">
        <v>2</v>
      </c>
      <c r="AR381">
        <v>2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2</v>
      </c>
      <c r="BC381">
        <v>16</v>
      </c>
      <c r="BD381">
        <v>10</v>
      </c>
      <c r="BE381">
        <v>1</v>
      </c>
      <c r="BF381">
        <v>0</v>
      </c>
      <c r="BG381">
        <v>0</v>
      </c>
      <c r="BH381">
        <v>2</v>
      </c>
      <c r="BI381">
        <v>1</v>
      </c>
      <c r="BJ381">
        <v>0</v>
      </c>
      <c r="BK381">
        <v>0</v>
      </c>
      <c r="BL381">
        <v>0</v>
      </c>
      <c r="BM381">
        <v>2</v>
      </c>
      <c r="BN381">
        <v>16</v>
      </c>
      <c r="BO381">
        <v>88</v>
      </c>
      <c r="BP381">
        <v>70</v>
      </c>
      <c r="BQ381">
        <v>3</v>
      </c>
      <c r="BR381">
        <v>8</v>
      </c>
      <c r="BS381">
        <v>0</v>
      </c>
      <c r="BT381">
        <v>1</v>
      </c>
      <c r="BU381">
        <v>4</v>
      </c>
      <c r="BV381">
        <v>1</v>
      </c>
      <c r="BW381">
        <v>1</v>
      </c>
      <c r="BX381">
        <v>0</v>
      </c>
      <c r="BY381">
        <v>0</v>
      </c>
      <c r="BZ381">
        <v>88</v>
      </c>
      <c r="CA381">
        <v>8</v>
      </c>
      <c r="CB381">
        <v>4</v>
      </c>
      <c r="CC381">
        <v>0</v>
      </c>
      <c r="CD381">
        <v>0</v>
      </c>
      <c r="CE381">
        <v>2</v>
      </c>
      <c r="CF381">
        <v>1</v>
      </c>
      <c r="CG381">
        <v>0</v>
      </c>
      <c r="CH381">
        <v>1</v>
      </c>
      <c r="CI381">
        <v>0</v>
      </c>
      <c r="CJ381">
        <v>0</v>
      </c>
      <c r="CK381">
        <v>0</v>
      </c>
      <c r="CL381">
        <v>8</v>
      </c>
      <c r="CM381">
        <v>6</v>
      </c>
      <c r="CN381">
        <v>5</v>
      </c>
      <c r="CO381">
        <v>0</v>
      </c>
      <c r="CP381">
        <v>0</v>
      </c>
      <c r="CQ381">
        <v>0</v>
      </c>
      <c r="CR381">
        <v>1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6</v>
      </c>
      <c r="CY381">
        <v>10</v>
      </c>
      <c r="CZ381">
        <v>7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1</v>
      </c>
      <c r="DH381">
        <v>1</v>
      </c>
      <c r="DI381">
        <v>1</v>
      </c>
      <c r="DJ381">
        <v>10</v>
      </c>
      <c r="DK381">
        <v>37</v>
      </c>
      <c r="DL381">
        <v>23</v>
      </c>
      <c r="DM381">
        <v>9</v>
      </c>
      <c r="DN381">
        <v>0</v>
      </c>
      <c r="DO381">
        <v>0</v>
      </c>
      <c r="DP381">
        <v>4</v>
      </c>
      <c r="DQ381">
        <v>0</v>
      </c>
      <c r="DR381">
        <v>1</v>
      </c>
      <c r="DS381">
        <v>0</v>
      </c>
      <c r="DT381">
        <v>0</v>
      </c>
      <c r="DU381">
        <v>0</v>
      </c>
      <c r="DV381">
        <v>37</v>
      </c>
      <c r="DW381">
        <v>37</v>
      </c>
      <c r="DX381">
        <v>0</v>
      </c>
      <c r="DY381">
        <v>1</v>
      </c>
      <c r="DZ381">
        <v>0</v>
      </c>
      <c r="EA381">
        <v>0</v>
      </c>
      <c r="EB381">
        <v>1</v>
      </c>
      <c r="EC381">
        <v>34</v>
      </c>
      <c r="ED381">
        <v>0</v>
      </c>
      <c r="EE381">
        <v>0</v>
      </c>
      <c r="EF381">
        <v>0</v>
      </c>
      <c r="EG381">
        <v>1</v>
      </c>
      <c r="EH381">
        <v>37</v>
      </c>
      <c r="EI381">
        <v>1</v>
      </c>
      <c r="EJ381">
        <v>0</v>
      </c>
      <c r="EK381">
        <v>1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1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0</v>
      </c>
      <c r="FO381">
        <v>0</v>
      </c>
      <c r="FP381">
        <v>0</v>
      </c>
    </row>
    <row r="382" spans="1:172" ht="14.25">
      <c r="A382">
        <v>377</v>
      </c>
      <c r="B382" t="str">
        <f t="shared" si="69"/>
        <v>101610</v>
      </c>
      <c r="C382" t="str">
        <f t="shared" si="70"/>
        <v>Ujazd</v>
      </c>
      <c r="D382" t="str">
        <f t="shared" si="68"/>
        <v>tomaszowski</v>
      </c>
      <c r="E382" t="str">
        <f t="shared" si="62"/>
        <v>łódzkie</v>
      </c>
      <c r="F382">
        <v>2</v>
      </c>
      <c r="G382" t="str">
        <f>"Przedszkole Samorządowe, ul. Kościelna 24, 97-225 Ujazd"</f>
        <v>Przedszkole Samorządowe, ul. Kościelna 24, 97-225 Ujazd</v>
      </c>
      <c r="H382">
        <v>728</v>
      </c>
      <c r="I382">
        <v>728</v>
      </c>
      <c r="J382">
        <v>0</v>
      </c>
      <c r="K382">
        <v>510</v>
      </c>
      <c r="L382">
        <v>390</v>
      </c>
      <c r="M382">
        <v>120</v>
      </c>
      <c r="N382">
        <v>120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120</v>
      </c>
      <c r="Z382">
        <v>0</v>
      </c>
      <c r="AA382">
        <v>0</v>
      </c>
      <c r="AB382">
        <v>120</v>
      </c>
      <c r="AC382">
        <v>5</v>
      </c>
      <c r="AD382">
        <v>115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6</v>
      </c>
      <c r="BD382">
        <v>2</v>
      </c>
      <c r="BE382">
        <v>3</v>
      </c>
      <c r="BF382">
        <v>0</v>
      </c>
      <c r="BG382">
        <v>0</v>
      </c>
      <c r="BH382">
        <v>1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6</v>
      </c>
      <c r="BO382">
        <v>67</v>
      </c>
      <c r="BP382">
        <v>56</v>
      </c>
      <c r="BQ382">
        <v>0</v>
      </c>
      <c r="BR382">
        <v>1</v>
      </c>
      <c r="BS382">
        <v>0</v>
      </c>
      <c r="BT382">
        <v>0</v>
      </c>
      <c r="BU382">
        <v>2</v>
      </c>
      <c r="BV382">
        <v>0</v>
      </c>
      <c r="BW382">
        <v>3</v>
      </c>
      <c r="BX382">
        <v>1</v>
      </c>
      <c r="BY382">
        <v>4</v>
      </c>
      <c r="BZ382">
        <v>67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4</v>
      </c>
      <c r="CN382">
        <v>4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4</v>
      </c>
      <c r="CY382">
        <v>1</v>
      </c>
      <c r="CZ382">
        <v>1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1</v>
      </c>
      <c r="DK382">
        <v>15</v>
      </c>
      <c r="DL382">
        <v>9</v>
      </c>
      <c r="DM382">
        <v>5</v>
      </c>
      <c r="DN382">
        <v>0</v>
      </c>
      <c r="DO382">
        <v>0</v>
      </c>
      <c r="DP382">
        <v>1</v>
      </c>
      <c r="DQ382">
        <v>0</v>
      </c>
      <c r="DR382">
        <v>0</v>
      </c>
      <c r="DS382">
        <v>0</v>
      </c>
      <c r="DT382">
        <v>0</v>
      </c>
      <c r="DU382">
        <v>0</v>
      </c>
      <c r="DV382">
        <v>15</v>
      </c>
      <c r="DW382">
        <v>19</v>
      </c>
      <c r="DX382">
        <v>0</v>
      </c>
      <c r="DY382">
        <v>1</v>
      </c>
      <c r="DZ382">
        <v>0</v>
      </c>
      <c r="EA382">
        <v>0</v>
      </c>
      <c r="EB382">
        <v>0</v>
      </c>
      <c r="EC382">
        <v>15</v>
      </c>
      <c r="ED382">
        <v>0</v>
      </c>
      <c r="EE382">
        <v>2</v>
      </c>
      <c r="EF382">
        <v>0</v>
      </c>
      <c r="EG382">
        <v>1</v>
      </c>
      <c r="EH382">
        <v>19</v>
      </c>
      <c r="EI382">
        <v>2</v>
      </c>
      <c r="EJ382">
        <v>0</v>
      </c>
      <c r="EK382">
        <v>2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2</v>
      </c>
      <c r="ES382">
        <v>1</v>
      </c>
      <c r="ET382">
        <v>1</v>
      </c>
      <c r="EU382">
        <v>0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1</v>
      </c>
      <c r="FE382">
        <v>0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</row>
    <row r="383" spans="1:172" ht="14.25">
      <c r="A383">
        <v>378</v>
      </c>
      <c r="B383" t="str">
        <f t="shared" si="69"/>
        <v>101610</v>
      </c>
      <c r="C383" t="str">
        <f t="shared" si="70"/>
        <v>Ujazd</v>
      </c>
      <c r="D383" t="str">
        <f t="shared" si="68"/>
        <v>tomaszowski</v>
      </c>
      <c r="E383" t="str">
        <f t="shared" si="62"/>
        <v>łódzkie</v>
      </c>
      <c r="F383">
        <v>3</v>
      </c>
      <c r="G383" t="str">
        <f>"Budynek po byłej filii bibliotecznej w Olszowej, Olszowa 11, 97-225 Ujazd"</f>
        <v>Budynek po byłej filii bibliotecznej w Olszowej, Olszowa 11, 97-225 Ujazd</v>
      </c>
      <c r="H383">
        <v>724</v>
      </c>
      <c r="I383">
        <v>724</v>
      </c>
      <c r="J383">
        <v>0</v>
      </c>
      <c r="K383">
        <v>510</v>
      </c>
      <c r="L383">
        <v>417</v>
      </c>
      <c r="M383">
        <v>93</v>
      </c>
      <c r="N383">
        <v>93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93</v>
      </c>
      <c r="Z383">
        <v>0</v>
      </c>
      <c r="AA383">
        <v>0</v>
      </c>
      <c r="AB383">
        <v>93</v>
      </c>
      <c r="AC383">
        <v>3</v>
      </c>
      <c r="AD383">
        <v>90</v>
      </c>
      <c r="AE383">
        <v>5</v>
      </c>
      <c r="AF383">
        <v>0</v>
      </c>
      <c r="AG383">
        <v>1</v>
      </c>
      <c r="AH383">
        <v>0</v>
      </c>
      <c r="AI383">
        <v>0</v>
      </c>
      <c r="AJ383">
        <v>0</v>
      </c>
      <c r="AK383">
        <v>1</v>
      </c>
      <c r="AL383">
        <v>2</v>
      </c>
      <c r="AM383">
        <v>0</v>
      </c>
      <c r="AN383">
        <v>1</v>
      </c>
      <c r="AO383">
        <v>0</v>
      </c>
      <c r="AP383">
        <v>5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1</v>
      </c>
      <c r="BD383">
        <v>1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1</v>
      </c>
      <c r="BO383">
        <v>62</v>
      </c>
      <c r="BP383">
        <v>48</v>
      </c>
      <c r="BQ383">
        <v>3</v>
      </c>
      <c r="BR383">
        <v>0</v>
      </c>
      <c r="BS383">
        <v>1</v>
      </c>
      <c r="BT383">
        <v>0</v>
      </c>
      <c r="BU383">
        <v>2</v>
      </c>
      <c r="BV383">
        <v>0</v>
      </c>
      <c r="BW383">
        <v>3</v>
      </c>
      <c r="BX383">
        <v>1</v>
      </c>
      <c r="BY383">
        <v>4</v>
      </c>
      <c r="BZ383">
        <v>62</v>
      </c>
      <c r="CA383">
        <v>4</v>
      </c>
      <c r="CB383">
        <v>1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3</v>
      </c>
      <c r="CK383">
        <v>0</v>
      </c>
      <c r="CL383">
        <v>4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2</v>
      </c>
      <c r="CZ383">
        <v>2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2</v>
      </c>
      <c r="DK383">
        <v>6</v>
      </c>
      <c r="DL383">
        <v>3</v>
      </c>
      <c r="DM383">
        <v>2</v>
      </c>
      <c r="DN383">
        <v>0</v>
      </c>
      <c r="DO383">
        <v>1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6</v>
      </c>
      <c r="DW383">
        <v>9</v>
      </c>
      <c r="DX383">
        <v>1</v>
      </c>
      <c r="DY383">
        <v>0</v>
      </c>
      <c r="DZ383">
        <v>0</v>
      </c>
      <c r="EA383">
        <v>2</v>
      </c>
      <c r="EB383">
        <v>0</v>
      </c>
      <c r="EC383">
        <v>6</v>
      </c>
      <c r="ED383">
        <v>0</v>
      </c>
      <c r="EE383">
        <v>0</v>
      </c>
      <c r="EF383">
        <v>0</v>
      </c>
      <c r="EG383">
        <v>0</v>
      </c>
      <c r="EH383">
        <v>9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1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1</v>
      </c>
      <c r="FP383">
        <v>1</v>
      </c>
    </row>
    <row r="384" spans="1:172" ht="14.25">
      <c r="A384">
        <v>379</v>
      </c>
      <c r="B384" t="str">
        <f t="shared" si="69"/>
        <v>101610</v>
      </c>
      <c r="C384" t="str">
        <f t="shared" si="70"/>
        <v>Ujazd</v>
      </c>
      <c r="D384" t="str">
        <f t="shared" si="68"/>
        <v>tomaszowski</v>
      </c>
      <c r="E384" t="str">
        <f t="shared" si="62"/>
        <v>łódzkie</v>
      </c>
      <c r="F384">
        <v>4</v>
      </c>
      <c r="G384" t="str">
        <f>"Świetlica Wiejska w Bukowie, Buków 6, 97-225 Ujazd"</f>
        <v>Świetlica Wiejska w Bukowie, Buków 6, 97-225 Ujazd</v>
      </c>
      <c r="H384">
        <v>947</v>
      </c>
      <c r="I384">
        <v>947</v>
      </c>
      <c r="J384">
        <v>0</v>
      </c>
      <c r="K384">
        <v>670</v>
      </c>
      <c r="L384">
        <v>531</v>
      </c>
      <c r="M384">
        <v>139</v>
      </c>
      <c r="N384">
        <v>139</v>
      </c>
      <c r="O384">
        <v>0</v>
      </c>
      <c r="P384">
        <v>0</v>
      </c>
      <c r="Q384">
        <v>1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139</v>
      </c>
      <c r="Z384">
        <v>0</v>
      </c>
      <c r="AA384">
        <v>0</v>
      </c>
      <c r="AB384">
        <v>139</v>
      </c>
      <c r="AC384">
        <v>4</v>
      </c>
      <c r="AD384">
        <v>135</v>
      </c>
      <c r="AE384">
        <v>2</v>
      </c>
      <c r="AF384">
        <v>1</v>
      </c>
      <c r="AG384">
        <v>1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2</v>
      </c>
      <c r="AQ384">
        <v>4</v>
      </c>
      <c r="AR384">
        <v>4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4</v>
      </c>
      <c r="BC384">
        <v>6</v>
      </c>
      <c r="BD384">
        <v>5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1</v>
      </c>
      <c r="BN384">
        <v>6</v>
      </c>
      <c r="BO384">
        <v>67</v>
      </c>
      <c r="BP384">
        <v>61</v>
      </c>
      <c r="BQ384">
        <v>0</v>
      </c>
      <c r="BR384">
        <v>0</v>
      </c>
      <c r="BS384">
        <v>0</v>
      </c>
      <c r="BT384">
        <v>0</v>
      </c>
      <c r="BU384">
        <v>3</v>
      </c>
      <c r="BV384">
        <v>1</v>
      </c>
      <c r="BW384">
        <v>1</v>
      </c>
      <c r="BX384">
        <v>1</v>
      </c>
      <c r="BY384">
        <v>0</v>
      </c>
      <c r="BZ384">
        <v>67</v>
      </c>
      <c r="CA384">
        <v>3</v>
      </c>
      <c r="CB384">
        <v>0</v>
      </c>
      <c r="CC384">
        <v>0</v>
      </c>
      <c r="CD384">
        <v>0</v>
      </c>
      <c r="CE384">
        <v>2</v>
      </c>
      <c r="CF384">
        <v>0</v>
      </c>
      <c r="CG384">
        <v>0</v>
      </c>
      <c r="CH384">
        <v>1</v>
      </c>
      <c r="CI384">
        <v>0</v>
      </c>
      <c r="CJ384">
        <v>0</v>
      </c>
      <c r="CK384">
        <v>0</v>
      </c>
      <c r="CL384">
        <v>3</v>
      </c>
      <c r="CM384">
        <v>2</v>
      </c>
      <c r="CN384">
        <v>2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2</v>
      </c>
      <c r="CY384">
        <v>8</v>
      </c>
      <c r="CZ384">
        <v>5</v>
      </c>
      <c r="DA384">
        <v>0</v>
      </c>
      <c r="DB384">
        <v>0</v>
      </c>
      <c r="DC384">
        <v>0</v>
      </c>
      <c r="DD384">
        <v>0</v>
      </c>
      <c r="DE384">
        <v>2</v>
      </c>
      <c r="DF384">
        <v>0</v>
      </c>
      <c r="DG384">
        <v>0</v>
      </c>
      <c r="DH384">
        <v>1</v>
      </c>
      <c r="DI384">
        <v>0</v>
      </c>
      <c r="DJ384">
        <v>8</v>
      </c>
      <c r="DK384">
        <v>13</v>
      </c>
      <c r="DL384">
        <v>6</v>
      </c>
      <c r="DM384">
        <v>4</v>
      </c>
      <c r="DN384">
        <v>1</v>
      </c>
      <c r="DO384">
        <v>1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1</v>
      </c>
      <c r="DV384">
        <v>13</v>
      </c>
      <c r="DW384">
        <v>28</v>
      </c>
      <c r="DX384">
        <v>1</v>
      </c>
      <c r="DY384">
        <v>4</v>
      </c>
      <c r="DZ384">
        <v>1</v>
      </c>
      <c r="EA384">
        <v>0</v>
      </c>
      <c r="EB384">
        <v>0</v>
      </c>
      <c r="EC384">
        <v>21</v>
      </c>
      <c r="ED384">
        <v>0</v>
      </c>
      <c r="EE384">
        <v>1</v>
      </c>
      <c r="EF384">
        <v>0</v>
      </c>
      <c r="EG384">
        <v>0</v>
      </c>
      <c r="EH384">
        <v>28</v>
      </c>
      <c r="EI384">
        <v>1</v>
      </c>
      <c r="EJ384">
        <v>0</v>
      </c>
      <c r="EK384">
        <v>1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1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1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1</v>
      </c>
      <c r="FP384">
        <v>1</v>
      </c>
    </row>
    <row r="385" spans="1:172" ht="14.25">
      <c r="A385">
        <v>380</v>
      </c>
      <c r="B385" t="str">
        <f t="shared" si="69"/>
        <v>101610</v>
      </c>
      <c r="C385" t="str">
        <f t="shared" si="70"/>
        <v>Ujazd</v>
      </c>
      <c r="D385" t="str">
        <f t="shared" si="68"/>
        <v>tomaszowski</v>
      </c>
      <c r="E385" t="str">
        <f t="shared" si="62"/>
        <v>łódzkie</v>
      </c>
      <c r="F385">
        <v>5</v>
      </c>
      <c r="G385" t="str">
        <f>"Gminny Ośrodek Kultury w Ujeździe, Osiedle Niewiadów 43, 97-225 Ujazd"</f>
        <v>Gminny Ośrodek Kultury w Ujeździe, Osiedle Niewiadów 43, 97-225 Ujazd</v>
      </c>
      <c r="H385">
        <v>921</v>
      </c>
      <c r="I385">
        <v>921</v>
      </c>
      <c r="J385">
        <v>0</v>
      </c>
      <c r="K385">
        <v>650</v>
      </c>
      <c r="L385">
        <v>483</v>
      </c>
      <c r="M385">
        <v>167</v>
      </c>
      <c r="N385">
        <v>167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167</v>
      </c>
      <c r="Z385">
        <v>0</v>
      </c>
      <c r="AA385">
        <v>0</v>
      </c>
      <c r="AB385">
        <v>167</v>
      </c>
      <c r="AC385">
        <v>11</v>
      </c>
      <c r="AD385">
        <v>156</v>
      </c>
      <c r="AE385">
        <v>2</v>
      </c>
      <c r="AF385">
        <v>2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2</v>
      </c>
      <c r="AQ385">
        <v>1</v>
      </c>
      <c r="AR385">
        <v>1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1</v>
      </c>
      <c r="BC385">
        <v>13</v>
      </c>
      <c r="BD385">
        <v>10</v>
      </c>
      <c r="BE385">
        <v>3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13</v>
      </c>
      <c r="BO385">
        <v>71</v>
      </c>
      <c r="BP385">
        <v>50</v>
      </c>
      <c r="BQ385">
        <v>3</v>
      </c>
      <c r="BR385">
        <v>6</v>
      </c>
      <c r="BS385">
        <v>3</v>
      </c>
      <c r="BT385">
        <v>0</v>
      </c>
      <c r="BU385">
        <v>0</v>
      </c>
      <c r="BV385">
        <v>0</v>
      </c>
      <c r="BW385">
        <v>3</v>
      </c>
      <c r="BX385">
        <v>5</v>
      </c>
      <c r="BY385">
        <v>1</v>
      </c>
      <c r="BZ385">
        <v>71</v>
      </c>
      <c r="CA385">
        <v>3</v>
      </c>
      <c r="CB385">
        <v>2</v>
      </c>
      <c r="CC385">
        <v>0</v>
      </c>
      <c r="CD385">
        <v>0</v>
      </c>
      <c r="CE385">
        <v>0</v>
      </c>
      <c r="CF385">
        <v>0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3</v>
      </c>
      <c r="CM385">
        <v>1</v>
      </c>
      <c r="CN385">
        <v>1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1</v>
      </c>
      <c r="CY385">
        <v>12</v>
      </c>
      <c r="CZ385">
        <v>8</v>
      </c>
      <c r="DA385">
        <v>1</v>
      </c>
      <c r="DB385">
        <v>0</v>
      </c>
      <c r="DC385">
        <v>1</v>
      </c>
      <c r="DD385">
        <v>0</v>
      </c>
      <c r="DE385">
        <v>0</v>
      </c>
      <c r="DF385">
        <v>0</v>
      </c>
      <c r="DG385">
        <v>1</v>
      </c>
      <c r="DH385">
        <v>1</v>
      </c>
      <c r="DI385">
        <v>0</v>
      </c>
      <c r="DJ385">
        <v>12</v>
      </c>
      <c r="DK385">
        <v>31</v>
      </c>
      <c r="DL385">
        <v>13</v>
      </c>
      <c r="DM385">
        <v>8</v>
      </c>
      <c r="DN385">
        <v>0</v>
      </c>
      <c r="DO385">
        <v>2</v>
      </c>
      <c r="DP385">
        <v>4</v>
      </c>
      <c r="DQ385">
        <v>1</v>
      </c>
      <c r="DR385">
        <v>0</v>
      </c>
      <c r="DS385">
        <v>2</v>
      </c>
      <c r="DT385">
        <v>0</v>
      </c>
      <c r="DU385">
        <v>1</v>
      </c>
      <c r="DV385">
        <v>31</v>
      </c>
      <c r="DW385">
        <v>20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19</v>
      </c>
      <c r="ED385">
        <v>0</v>
      </c>
      <c r="EE385">
        <v>0</v>
      </c>
      <c r="EF385">
        <v>0</v>
      </c>
      <c r="EG385">
        <v>1</v>
      </c>
      <c r="EH385">
        <v>20</v>
      </c>
      <c r="EI385">
        <v>1</v>
      </c>
      <c r="EJ385">
        <v>0</v>
      </c>
      <c r="EK385">
        <v>1</v>
      </c>
      <c r="EL385">
        <v>0</v>
      </c>
      <c r="EM385">
        <v>0</v>
      </c>
      <c r="EN385">
        <v>0</v>
      </c>
      <c r="EO385">
        <v>0</v>
      </c>
      <c r="EP385">
        <v>0</v>
      </c>
      <c r="EQ385">
        <v>0</v>
      </c>
      <c r="ER385">
        <v>1</v>
      </c>
      <c r="ES385">
        <v>0</v>
      </c>
      <c r="ET385">
        <v>0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1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1</v>
      </c>
      <c r="FP385">
        <v>1</v>
      </c>
    </row>
    <row r="386" spans="1:172" ht="14.25">
      <c r="A386">
        <v>381</v>
      </c>
      <c r="B386" t="str">
        <f t="shared" si="69"/>
        <v>101610</v>
      </c>
      <c r="C386" t="str">
        <f t="shared" si="70"/>
        <v>Ujazd</v>
      </c>
      <c r="D386" t="str">
        <f t="shared" si="68"/>
        <v>tomaszowski</v>
      </c>
      <c r="E386" t="str">
        <f t="shared" si="62"/>
        <v>łódzkie</v>
      </c>
      <c r="F386">
        <v>6</v>
      </c>
      <c r="G386" t="str">
        <f>"Gminny Ośrodek Kultury w Ujeździe, Osiedle Niewiadów 43, 97-225 Ujazd"</f>
        <v>Gminny Ośrodek Kultury w Ujeździe, Osiedle Niewiadów 43, 97-225 Ujazd</v>
      </c>
      <c r="H386">
        <v>906</v>
      </c>
      <c r="I386">
        <v>906</v>
      </c>
      <c r="J386">
        <v>0</v>
      </c>
      <c r="K386">
        <v>640</v>
      </c>
      <c r="L386">
        <v>403</v>
      </c>
      <c r="M386">
        <v>237</v>
      </c>
      <c r="N386">
        <v>237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237</v>
      </c>
      <c r="Z386">
        <v>0</v>
      </c>
      <c r="AA386">
        <v>0</v>
      </c>
      <c r="AB386">
        <v>237</v>
      </c>
      <c r="AC386">
        <v>3</v>
      </c>
      <c r="AD386">
        <v>234</v>
      </c>
      <c r="AE386">
        <v>4</v>
      </c>
      <c r="AF386">
        <v>2</v>
      </c>
      <c r="AG386">
        <v>1</v>
      </c>
      <c r="AH386">
        <v>0</v>
      </c>
      <c r="AI386">
        <v>0</v>
      </c>
      <c r="AJ386">
        <v>1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4</v>
      </c>
      <c r="AQ386">
        <v>1</v>
      </c>
      <c r="AR386">
        <v>1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1</v>
      </c>
      <c r="BC386">
        <v>24</v>
      </c>
      <c r="BD386">
        <v>14</v>
      </c>
      <c r="BE386">
        <v>4</v>
      </c>
      <c r="BF386">
        <v>1</v>
      </c>
      <c r="BG386">
        <v>2</v>
      </c>
      <c r="BH386">
        <v>1</v>
      </c>
      <c r="BI386">
        <v>1</v>
      </c>
      <c r="BJ386">
        <v>0</v>
      </c>
      <c r="BK386">
        <v>0</v>
      </c>
      <c r="BL386">
        <v>0</v>
      </c>
      <c r="BM386">
        <v>1</v>
      </c>
      <c r="BN386">
        <v>24</v>
      </c>
      <c r="BO386">
        <v>88</v>
      </c>
      <c r="BP386">
        <v>69</v>
      </c>
      <c r="BQ386">
        <v>5</v>
      </c>
      <c r="BR386">
        <v>7</v>
      </c>
      <c r="BS386">
        <v>0</v>
      </c>
      <c r="BT386">
        <v>0</v>
      </c>
      <c r="BU386">
        <v>1</v>
      </c>
      <c r="BV386">
        <v>0</v>
      </c>
      <c r="BW386">
        <v>3</v>
      </c>
      <c r="BX386">
        <v>2</v>
      </c>
      <c r="BY386">
        <v>1</v>
      </c>
      <c r="BZ386">
        <v>88</v>
      </c>
      <c r="CA386">
        <v>10</v>
      </c>
      <c r="CB386">
        <v>2</v>
      </c>
      <c r="CC386">
        <v>0</v>
      </c>
      <c r="CD386">
        <v>5</v>
      </c>
      <c r="CE386">
        <v>0</v>
      </c>
      <c r="CF386">
        <v>1</v>
      </c>
      <c r="CG386">
        <v>0</v>
      </c>
      <c r="CH386">
        <v>0</v>
      </c>
      <c r="CI386">
        <v>0</v>
      </c>
      <c r="CJ386">
        <v>2</v>
      </c>
      <c r="CK386">
        <v>0</v>
      </c>
      <c r="CL386">
        <v>10</v>
      </c>
      <c r="CM386">
        <v>5</v>
      </c>
      <c r="CN386">
        <v>1</v>
      </c>
      <c r="CO386">
        <v>3</v>
      </c>
      <c r="CP386">
        <v>0</v>
      </c>
      <c r="CQ386">
        <v>0</v>
      </c>
      <c r="CR386">
        <v>1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5</v>
      </c>
      <c r="CY386">
        <v>14</v>
      </c>
      <c r="CZ386">
        <v>11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2</v>
      </c>
      <c r="DH386">
        <v>1</v>
      </c>
      <c r="DI386">
        <v>0</v>
      </c>
      <c r="DJ386">
        <v>14</v>
      </c>
      <c r="DK386">
        <v>47</v>
      </c>
      <c r="DL386">
        <v>37</v>
      </c>
      <c r="DM386">
        <v>4</v>
      </c>
      <c r="DN386">
        <v>1</v>
      </c>
      <c r="DO386">
        <v>0</v>
      </c>
      <c r="DP386">
        <v>2</v>
      </c>
      <c r="DQ386">
        <v>0</v>
      </c>
      <c r="DR386">
        <v>0</v>
      </c>
      <c r="DS386">
        <v>2</v>
      </c>
      <c r="DT386">
        <v>0</v>
      </c>
      <c r="DU386">
        <v>1</v>
      </c>
      <c r="DV386">
        <v>47</v>
      </c>
      <c r="DW386">
        <v>38</v>
      </c>
      <c r="DX386">
        <v>1</v>
      </c>
      <c r="DY386">
        <v>0</v>
      </c>
      <c r="DZ386">
        <v>0</v>
      </c>
      <c r="EA386">
        <v>0</v>
      </c>
      <c r="EB386">
        <v>0</v>
      </c>
      <c r="EC386">
        <v>36</v>
      </c>
      <c r="ED386">
        <v>0</v>
      </c>
      <c r="EE386">
        <v>0</v>
      </c>
      <c r="EF386">
        <v>0</v>
      </c>
      <c r="EG386">
        <v>1</v>
      </c>
      <c r="EH386">
        <v>38</v>
      </c>
      <c r="EI386">
        <v>2</v>
      </c>
      <c r="EJ386">
        <v>0</v>
      </c>
      <c r="EK386">
        <v>1</v>
      </c>
      <c r="EL386">
        <v>1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2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1</v>
      </c>
      <c r="FF386">
        <v>0</v>
      </c>
      <c r="FG386">
        <v>1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1</v>
      </c>
    </row>
    <row r="387" spans="1:172" ht="14.25">
      <c r="A387">
        <v>382</v>
      </c>
      <c r="B387" t="str">
        <f t="shared" si="69"/>
        <v>101610</v>
      </c>
      <c r="C387" t="str">
        <f t="shared" si="70"/>
        <v>Ujazd</v>
      </c>
      <c r="D387" t="str">
        <f t="shared" si="68"/>
        <v>tomaszowski</v>
      </c>
      <c r="E387" t="str">
        <f t="shared" si="62"/>
        <v>łódzkie</v>
      </c>
      <c r="F387">
        <v>7</v>
      </c>
      <c r="G387" t="str">
        <f>"Ochotnicza Straż Pożarna w Przesiadłowie, Przesiadłów 31, 97-225 Ujazd"</f>
        <v>Ochotnicza Straż Pożarna w Przesiadłowie, Przesiadłów 31, 97-225 Ujazd</v>
      </c>
      <c r="H387">
        <v>811</v>
      </c>
      <c r="I387">
        <v>811</v>
      </c>
      <c r="J387">
        <v>0</v>
      </c>
      <c r="K387">
        <v>570</v>
      </c>
      <c r="L387">
        <v>389</v>
      </c>
      <c r="M387">
        <v>181</v>
      </c>
      <c r="N387">
        <v>181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181</v>
      </c>
      <c r="Z387">
        <v>0</v>
      </c>
      <c r="AA387">
        <v>0</v>
      </c>
      <c r="AB387">
        <v>181</v>
      </c>
      <c r="AC387">
        <v>6</v>
      </c>
      <c r="AD387">
        <v>175</v>
      </c>
      <c r="AE387">
        <v>4</v>
      </c>
      <c r="AF387">
        <v>1</v>
      </c>
      <c r="AG387">
        <v>1</v>
      </c>
      <c r="AH387">
        <v>1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1</v>
      </c>
      <c r="AO387">
        <v>0</v>
      </c>
      <c r="AP387">
        <v>4</v>
      </c>
      <c r="AQ387">
        <v>3</v>
      </c>
      <c r="AR387">
        <v>3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3</v>
      </c>
      <c r="BC387">
        <v>5</v>
      </c>
      <c r="BD387">
        <v>5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5</v>
      </c>
      <c r="BO387">
        <v>108</v>
      </c>
      <c r="BP387">
        <v>88</v>
      </c>
      <c r="BQ387">
        <v>4</v>
      </c>
      <c r="BR387">
        <v>4</v>
      </c>
      <c r="BS387">
        <v>1</v>
      </c>
      <c r="BT387">
        <v>0</v>
      </c>
      <c r="BU387">
        <v>5</v>
      </c>
      <c r="BV387">
        <v>1</v>
      </c>
      <c r="BW387">
        <v>3</v>
      </c>
      <c r="BX387">
        <v>1</v>
      </c>
      <c r="BY387">
        <v>1</v>
      </c>
      <c r="BZ387">
        <v>108</v>
      </c>
      <c r="CA387">
        <v>2</v>
      </c>
      <c r="CB387">
        <v>1</v>
      </c>
      <c r="CC387">
        <v>0</v>
      </c>
      <c r="CD387">
        <v>0</v>
      </c>
      <c r="CE387">
        <v>0</v>
      </c>
      <c r="CF387">
        <v>1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2</v>
      </c>
      <c r="CM387">
        <v>4</v>
      </c>
      <c r="CN387">
        <v>4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4</v>
      </c>
      <c r="CY387">
        <v>7</v>
      </c>
      <c r="CZ387">
        <v>6</v>
      </c>
      <c r="DA387">
        <v>1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7</v>
      </c>
      <c r="DK387">
        <v>21</v>
      </c>
      <c r="DL387">
        <v>11</v>
      </c>
      <c r="DM387">
        <v>6</v>
      </c>
      <c r="DN387">
        <v>1</v>
      </c>
      <c r="DO387">
        <v>0</v>
      </c>
      <c r="DP387">
        <v>2</v>
      </c>
      <c r="DQ387">
        <v>0</v>
      </c>
      <c r="DR387">
        <v>0</v>
      </c>
      <c r="DS387">
        <v>1</v>
      </c>
      <c r="DT387">
        <v>0</v>
      </c>
      <c r="DU387">
        <v>0</v>
      </c>
      <c r="DV387">
        <v>21</v>
      </c>
      <c r="DW387">
        <v>17</v>
      </c>
      <c r="DX387">
        <v>0</v>
      </c>
      <c r="DY387">
        <v>4</v>
      </c>
      <c r="DZ387">
        <v>1</v>
      </c>
      <c r="EA387">
        <v>0</v>
      </c>
      <c r="EB387">
        <v>0</v>
      </c>
      <c r="EC387">
        <v>11</v>
      </c>
      <c r="ED387">
        <v>1</v>
      </c>
      <c r="EE387">
        <v>0</v>
      </c>
      <c r="EF387">
        <v>0</v>
      </c>
      <c r="EG387">
        <v>0</v>
      </c>
      <c r="EH387">
        <v>17</v>
      </c>
      <c r="EI387">
        <v>1</v>
      </c>
      <c r="EJ387">
        <v>0</v>
      </c>
      <c r="EK387">
        <v>1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1</v>
      </c>
      <c r="ES387">
        <v>2</v>
      </c>
      <c r="ET387">
        <v>1</v>
      </c>
      <c r="EU387">
        <v>0</v>
      </c>
      <c r="EV387">
        <v>0</v>
      </c>
      <c r="EW387">
        <v>0</v>
      </c>
      <c r="EX387">
        <v>0</v>
      </c>
      <c r="EY387">
        <v>1</v>
      </c>
      <c r="EZ387">
        <v>0</v>
      </c>
      <c r="FA387">
        <v>0</v>
      </c>
      <c r="FB387">
        <v>0</v>
      </c>
      <c r="FC387">
        <v>0</v>
      </c>
      <c r="FD387">
        <v>2</v>
      </c>
      <c r="FE387">
        <v>1</v>
      </c>
      <c r="FF387">
        <v>1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1</v>
      </c>
    </row>
    <row r="388" spans="1:172" ht="14.25">
      <c r="A388">
        <v>383</v>
      </c>
      <c r="B388" t="str">
        <f t="shared" si="69"/>
        <v>101610</v>
      </c>
      <c r="C388" t="str">
        <f t="shared" si="70"/>
        <v>Ujazd</v>
      </c>
      <c r="D388" t="str">
        <f t="shared" si="68"/>
        <v>tomaszowski</v>
      </c>
      <c r="E388" t="str">
        <f t="shared" si="62"/>
        <v>łódzkie</v>
      </c>
      <c r="F388">
        <v>8</v>
      </c>
      <c r="G388" t="str">
        <f>"Świetlica Wiejska w Wyknie, Wykno 25, 97-225 Ujazd"</f>
        <v>Świetlica Wiejska w Wyknie, Wykno 25, 97-225 Ujazd</v>
      </c>
      <c r="H388">
        <v>418</v>
      </c>
      <c r="I388">
        <v>418</v>
      </c>
      <c r="J388">
        <v>0</v>
      </c>
      <c r="K388">
        <v>290</v>
      </c>
      <c r="L388">
        <v>202</v>
      </c>
      <c r="M388">
        <v>88</v>
      </c>
      <c r="N388">
        <v>88</v>
      </c>
      <c r="O388">
        <v>0</v>
      </c>
      <c r="P388">
        <v>0</v>
      </c>
      <c r="Q388">
        <v>3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88</v>
      </c>
      <c r="Z388">
        <v>0</v>
      </c>
      <c r="AA388">
        <v>0</v>
      </c>
      <c r="AB388">
        <v>88</v>
      </c>
      <c r="AC388">
        <v>1</v>
      </c>
      <c r="AD388">
        <v>87</v>
      </c>
      <c r="AE388">
        <v>4</v>
      </c>
      <c r="AF388">
        <v>2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2</v>
      </c>
      <c r="AO388">
        <v>0</v>
      </c>
      <c r="AP388">
        <v>4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8</v>
      </c>
      <c r="BD388">
        <v>8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8</v>
      </c>
      <c r="BO388">
        <v>38</v>
      </c>
      <c r="BP388">
        <v>37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1</v>
      </c>
      <c r="BZ388">
        <v>38</v>
      </c>
      <c r="CA388">
        <v>5</v>
      </c>
      <c r="CB388">
        <v>0</v>
      </c>
      <c r="CC388">
        <v>0</v>
      </c>
      <c r="CD388">
        <v>2</v>
      </c>
      <c r="CE388">
        <v>1</v>
      </c>
      <c r="CF388">
        <v>0</v>
      </c>
      <c r="CG388">
        <v>0</v>
      </c>
      <c r="CH388">
        <v>0</v>
      </c>
      <c r="CI388">
        <v>0</v>
      </c>
      <c r="CJ388">
        <v>1</v>
      </c>
      <c r="CK388">
        <v>1</v>
      </c>
      <c r="CL388">
        <v>5</v>
      </c>
      <c r="CM388">
        <v>4</v>
      </c>
      <c r="CN388">
        <v>3</v>
      </c>
      <c r="CO388">
        <v>0</v>
      </c>
      <c r="CP388">
        <v>1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4</v>
      </c>
      <c r="CY388">
        <v>6</v>
      </c>
      <c r="CZ388">
        <v>6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6</v>
      </c>
      <c r="DK388">
        <v>13</v>
      </c>
      <c r="DL388">
        <v>4</v>
      </c>
      <c r="DM388">
        <v>6</v>
      </c>
      <c r="DN388">
        <v>1</v>
      </c>
      <c r="DO388">
        <v>0</v>
      </c>
      <c r="DP388">
        <v>0</v>
      </c>
      <c r="DQ388">
        <v>1</v>
      </c>
      <c r="DR388">
        <v>0</v>
      </c>
      <c r="DS388">
        <v>1</v>
      </c>
      <c r="DT388">
        <v>0</v>
      </c>
      <c r="DU388">
        <v>0</v>
      </c>
      <c r="DV388">
        <v>13</v>
      </c>
      <c r="DW388">
        <v>8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7</v>
      </c>
      <c r="ED388">
        <v>0</v>
      </c>
      <c r="EE388">
        <v>1</v>
      </c>
      <c r="EF388">
        <v>0</v>
      </c>
      <c r="EG388">
        <v>0</v>
      </c>
      <c r="EH388">
        <v>8</v>
      </c>
      <c r="EI388">
        <v>1</v>
      </c>
      <c r="EJ388">
        <v>0</v>
      </c>
      <c r="EK388">
        <v>1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1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</row>
    <row r="389" spans="1:172" ht="14.25">
      <c r="A389">
        <v>384</v>
      </c>
      <c r="B389" t="str">
        <f>"101611"</f>
        <v>101611</v>
      </c>
      <c r="C389" t="str">
        <f>"Żelechlinek"</f>
        <v>Żelechlinek</v>
      </c>
      <c r="D389" t="str">
        <f t="shared" si="68"/>
        <v>tomaszowski</v>
      </c>
      <c r="E389" t="str">
        <f t="shared" si="62"/>
        <v>łódzkie</v>
      </c>
      <c r="F389">
        <v>1</v>
      </c>
      <c r="G389" t="str">
        <f>"Gminny Dom Kultury w Żelechlinku, ul. Plac Tysiąclecia 2, 97-226 Żelechlinek"</f>
        <v>Gminny Dom Kultury w Żelechlinku, ul. Plac Tysiąclecia 2, 97-226 Żelechlinek</v>
      </c>
      <c r="H389">
        <v>850</v>
      </c>
      <c r="I389">
        <v>850</v>
      </c>
      <c r="J389">
        <v>0</v>
      </c>
      <c r="K389">
        <v>600</v>
      </c>
      <c r="L389">
        <v>392</v>
      </c>
      <c r="M389">
        <v>208</v>
      </c>
      <c r="N389">
        <v>208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208</v>
      </c>
      <c r="Z389">
        <v>0</v>
      </c>
      <c r="AA389">
        <v>0</v>
      </c>
      <c r="AB389">
        <v>208</v>
      </c>
      <c r="AC389">
        <v>8</v>
      </c>
      <c r="AD389">
        <v>200</v>
      </c>
      <c r="AE389">
        <v>1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1</v>
      </c>
      <c r="AO389">
        <v>0</v>
      </c>
      <c r="AP389">
        <v>1</v>
      </c>
      <c r="AQ389">
        <v>1</v>
      </c>
      <c r="AR389">
        <v>0</v>
      </c>
      <c r="AS389">
        <v>0</v>
      </c>
      <c r="AT389">
        <v>1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1</v>
      </c>
      <c r="BC389">
        <v>4</v>
      </c>
      <c r="BD389">
        <v>3</v>
      </c>
      <c r="BE389">
        <v>0</v>
      </c>
      <c r="BF389">
        <v>1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4</v>
      </c>
      <c r="BO389">
        <v>59</v>
      </c>
      <c r="BP389">
        <v>51</v>
      </c>
      <c r="BQ389">
        <v>2</v>
      </c>
      <c r="BR389">
        <v>1</v>
      </c>
      <c r="BS389">
        <v>0</v>
      </c>
      <c r="BT389">
        <v>3</v>
      </c>
      <c r="BU389">
        <v>0</v>
      </c>
      <c r="BV389">
        <v>0</v>
      </c>
      <c r="BW389">
        <v>2</v>
      </c>
      <c r="BX389">
        <v>0</v>
      </c>
      <c r="BY389">
        <v>0</v>
      </c>
      <c r="BZ389">
        <v>59</v>
      </c>
      <c r="CA389">
        <v>3</v>
      </c>
      <c r="CB389">
        <v>1</v>
      </c>
      <c r="CC389">
        <v>1</v>
      </c>
      <c r="CD389">
        <v>0</v>
      </c>
      <c r="CE389">
        <v>0</v>
      </c>
      <c r="CF389">
        <v>0</v>
      </c>
      <c r="CG389">
        <v>0</v>
      </c>
      <c r="CH389">
        <v>1</v>
      </c>
      <c r="CI389">
        <v>0</v>
      </c>
      <c r="CJ389">
        <v>0</v>
      </c>
      <c r="CK389">
        <v>0</v>
      </c>
      <c r="CL389">
        <v>3</v>
      </c>
      <c r="CM389">
        <v>3</v>
      </c>
      <c r="CN389">
        <v>2</v>
      </c>
      <c r="CO389">
        <v>0</v>
      </c>
      <c r="CP389">
        <v>0</v>
      </c>
      <c r="CQ389">
        <v>1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3</v>
      </c>
      <c r="CY389">
        <v>9</v>
      </c>
      <c r="CZ389">
        <v>6</v>
      </c>
      <c r="DA389">
        <v>0</v>
      </c>
      <c r="DB389">
        <v>0</v>
      </c>
      <c r="DC389">
        <v>3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9</v>
      </c>
      <c r="DK389">
        <v>16</v>
      </c>
      <c r="DL389">
        <v>12</v>
      </c>
      <c r="DM389">
        <v>2</v>
      </c>
      <c r="DN389">
        <v>0</v>
      </c>
      <c r="DO389">
        <v>0</v>
      </c>
      <c r="DP389">
        <v>2</v>
      </c>
      <c r="DQ389">
        <v>0</v>
      </c>
      <c r="DR389">
        <v>0</v>
      </c>
      <c r="DS389">
        <v>0</v>
      </c>
      <c r="DT389">
        <v>0</v>
      </c>
      <c r="DU389">
        <v>0</v>
      </c>
      <c r="DV389">
        <v>16</v>
      </c>
      <c r="DW389">
        <v>101</v>
      </c>
      <c r="DX389">
        <v>1</v>
      </c>
      <c r="DY389">
        <v>4</v>
      </c>
      <c r="DZ389">
        <v>0</v>
      </c>
      <c r="EA389">
        <v>0</v>
      </c>
      <c r="EB389">
        <v>0</v>
      </c>
      <c r="EC389">
        <v>71</v>
      </c>
      <c r="ED389">
        <v>0</v>
      </c>
      <c r="EE389">
        <v>25</v>
      </c>
      <c r="EF389">
        <v>0</v>
      </c>
      <c r="EG389">
        <v>0</v>
      </c>
      <c r="EH389">
        <v>101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3</v>
      </c>
      <c r="ET389">
        <v>0</v>
      </c>
      <c r="EU389">
        <v>2</v>
      </c>
      <c r="EV389">
        <v>0</v>
      </c>
      <c r="EW389">
        <v>0</v>
      </c>
      <c r="EX389">
        <v>0</v>
      </c>
      <c r="EY389">
        <v>1</v>
      </c>
      <c r="EZ389">
        <v>0</v>
      </c>
      <c r="FA389">
        <v>0</v>
      </c>
      <c r="FB389">
        <v>0</v>
      </c>
      <c r="FC389">
        <v>0</v>
      </c>
      <c r="FD389">
        <v>3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</row>
    <row r="390" spans="1:172" ht="14.25">
      <c r="A390">
        <v>385</v>
      </c>
      <c r="B390" t="str">
        <f>"101611"</f>
        <v>101611</v>
      </c>
      <c r="C390" t="str">
        <f>"Żelechlinek"</f>
        <v>Żelechlinek</v>
      </c>
      <c r="D390" t="str">
        <f t="shared" si="68"/>
        <v>tomaszowski</v>
      </c>
      <c r="E390" t="str">
        <f aca="true" t="shared" si="71" ref="E390:E433">"łódzkie"</f>
        <v>łódzkie</v>
      </c>
      <c r="F390">
        <v>2</v>
      </c>
      <c r="G390" t="str">
        <f>"Gminny Dom Kultury w Żelechlinku, ul. Plac Tysiąclecia 2, 97-226 Żelechlinek"</f>
        <v>Gminny Dom Kultury w Żelechlinku, ul. Plac Tysiąclecia 2, 97-226 Żelechlinek</v>
      </c>
      <c r="H390">
        <v>847</v>
      </c>
      <c r="I390">
        <v>847</v>
      </c>
      <c r="J390">
        <v>0</v>
      </c>
      <c r="K390">
        <v>590</v>
      </c>
      <c r="L390">
        <v>369</v>
      </c>
      <c r="M390">
        <v>221</v>
      </c>
      <c r="N390">
        <v>221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221</v>
      </c>
      <c r="Z390">
        <v>0</v>
      </c>
      <c r="AA390">
        <v>0</v>
      </c>
      <c r="AB390">
        <v>221</v>
      </c>
      <c r="AC390">
        <v>10</v>
      </c>
      <c r="AD390">
        <v>211</v>
      </c>
      <c r="AE390">
        <v>5</v>
      </c>
      <c r="AF390">
        <v>1</v>
      </c>
      <c r="AG390">
        <v>0</v>
      </c>
      <c r="AH390">
        <v>1</v>
      </c>
      <c r="AI390">
        <v>0</v>
      </c>
      <c r="AJ390">
        <v>1</v>
      </c>
      <c r="AK390">
        <v>1</v>
      </c>
      <c r="AL390">
        <v>0</v>
      </c>
      <c r="AM390">
        <v>0</v>
      </c>
      <c r="AN390">
        <v>0</v>
      </c>
      <c r="AO390">
        <v>1</v>
      </c>
      <c r="AP390">
        <v>5</v>
      </c>
      <c r="AQ390">
        <v>4</v>
      </c>
      <c r="AR390">
        <v>4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4</v>
      </c>
      <c r="BC390">
        <v>1</v>
      </c>
      <c r="BD390">
        <v>1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1</v>
      </c>
      <c r="BO390">
        <v>96</v>
      </c>
      <c r="BP390">
        <v>89</v>
      </c>
      <c r="BQ390">
        <v>2</v>
      </c>
      <c r="BR390">
        <v>0</v>
      </c>
      <c r="BS390">
        <v>0</v>
      </c>
      <c r="BT390">
        <v>0</v>
      </c>
      <c r="BU390">
        <v>4</v>
      </c>
      <c r="BV390">
        <v>0</v>
      </c>
      <c r="BW390">
        <v>0</v>
      </c>
      <c r="BX390">
        <v>0</v>
      </c>
      <c r="BY390">
        <v>1</v>
      </c>
      <c r="BZ390">
        <v>96</v>
      </c>
      <c r="CA390">
        <v>2</v>
      </c>
      <c r="CB390">
        <v>1</v>
      </c>
      <c r="CC390">
        <v>0</v>
      </c>
      <c r="CD390">
        <v>0</v>
      </c>
      <c r="CE390">
        <v>1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2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6</v>
      </c>
      <c r="CZ390">
        <v>3</v>
      </c>
      <c r="DA390">
        <v>0</v>
      </c>
      <c r="DB390">
        <v>2</v>
      </c>
      <c r="DC390">
        <v>1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6</v>
      </c>
      <c r="DK390">
        <v>6</v>
      </c>
      <c r="DL390">
        <v>2</v>
      </c>
      <c r="DM390">
        <v>1</v>
      </c>
      <c r="DN390">
        <v>1</v>
      </c>
      <c r="DO390">
        <v>0</v>
      </c>
      <c r="DP390">
        <v>2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6</v>
      </c>
      <c r="DW390">
        <v>90</v>
      </c>
      <c r="DX390">
        <v>0</v>
      </c>
      <c r="DY390">
        <v>1</v>
      </c>
      <c r="DZ390">
        <v>0</v>
      </c>
      <c r="EA390">
        <v>0</v>
      </c>
      <c r="EB390">
        <v>0</v>
      </c>
      <c r="EC390">
        <v>64</v>
      </c>
      <c r="ED390">
        <v>0</v>
      </c>
      <c r="EE390">
        <v>23</v>
      </c>
      <c r="EF390">
        <v>0</v>
      </c>
      <c r="EG390">
        <v>2</v>
      </c>
      <c r="EH390">
        <v>90</v>
      </c>
      <c r="EI390">
        <v>1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1</v>
      </c>
      <c r="EP390">
        <v>0</v>
      </c>
      <c r="EQ390">
        <v>0</v>
      </c>
      <c r="ER390">
        <v>1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</row>
    <row r="391" spans="1:172" ht="14.25">
      <c r="A391">
        <v>386</v>
      </c>
      <c r="B391" t="str">
        <f>"101611"</f>
        <v>101611</v>
      </c>
      <c r="C391" t="str">
        <f>"Żelechlinek"</f>
        <v>Żelechlinek</v>
      </c>
      <c r="D391" t="str">
        <f t="shared" si="68"/>
        <v>tomaszowski</v>
      </c>
      <c r="E391" t="str">
        <f t="shared" si="71"/>
        <v>łódzkie</v>
      </c>
      <c r="F391">
        <v>3</v>
      </c>
      <c r="G391" t="str">
        <f>"Świetlica Wiejska w Radwance, Radwanka 1, 97-226 Żelechlinek"</f>
        <v>Świetlica Wiejska w Radwance, Radwanka 1, 97-226 Żelechlinek</v>
      </c>
      <c r="H391">
        <v>541</v>
      </c>
      <c r="I391">
        <v>541</v>
      </c>
      <c r="J391">
        <v>0</v>
      </c>
      <c r="K391">
        <v>380</v>
      </c>
      <c r="L391">
        <v>234</v>
      </c>
      <c r="M391">
        <v>146</v>
      </c>
      <c r="N391">
        <v>146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146</v>
      </c>
      <c r="Z391">
        <v>0</v>
      </c>
      <c r="AA391">
        <v>0</v>
      </c>
      <c r="AB391">
        <v>146</v>
      </c>
      <c r="AC391">
        <v>10</v>
      </c>
      <c r="AD391">
        <v>136</v>
      </c>
      <c r="AE391">
        <v>3</v>
      </c>
      <c r="AF391">
        <v>0</v>
      </c>
      <c r="AG391">
        <v>1</v>
      </c>
      <c r="AH391">
        <v>0</v>
      </c>
      <c r="AI391">
        <v>0</v>
      </c>
      <c r="AJ391">
        <v>0</v>
      </c>
      <c r="AK391">
        <v>2</v>
      </c>
      <c r="AL391">
        <v>0</v>
      </c>
      <c r="AM391">
        <v>0</v>
      </c>
      <c r="AN391">
        <v>0</v>
      </c>
      <c r="AO391">
        <v>0</v>
      </c>
      <c r="AP391">
        <v>3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1</v>
      </c>
      <c r="BD391">
        <v>1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1</v>
      </c>
      <c r="BO391">
        <v>69</v>
      </c>
      <c r="BP391">
        <v>68</v>
      </c>
      <c r="BQ391">
        <v>0</v>
      </c>
      <c r="BR391">
        <v>1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69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1</v>
      </c>
      <c r="CN391">
        <v>1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1</v>
      </c>
      <c r="CY391">
        <v>1</v>
      </c>
      <c r="CZ391">
        <v>1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1</v>
      </c>
      <c r="DK391">
        <v>2</v>
      </c>
      <c r="DL391">
        <v>1</v>
      </c>
      <c r="DM391">
        <v>1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2</v>
      </c>
      <c r="DW391">
        <v>57</v>
      </c>
      <c r="DX391">
        <v>0</v>
      </c>
      <c r="DY391">
        <v>4</v>
      </c>
      <c r="DZ391">
        <v>0</v>
      </c>
      <c r="EA391">
        <v>0</v>
      </c>
      <c r="EB391">
        <v>1</v>
      </c>
      <c r="EC391">
        <v>41</v>
      </c>
      <c r="ED391">
        <v>3</v>
      </c>
      <c r="EE391">
        <v>8</v>
      </c>
      <c r="EF391">
        <v>0</v>
      </c>
      <c r="EG391">
        <v>0</v>
      </c>
      <c r="EH391">
        <v>57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2</v>
      </c>
      <c r="FF391">
        <v>0</v>
      </c>
      <c r="FG391">
        <v>2</v>
      </c>
      <c r="FH391">
        <v>0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0</v>
      </c>
      <c r="FO391">
        <v>0</v>
      </c>
      <c r="FP391">
        <v>2</v>
      </c>
    </row>
    <row r="392" spans="1:172" ht="14.25">
      <c r="A392">
        <v>387</v>
      </c>
      <c r="B392" t="str">
        <f>"101611"</f>
        <v>101611</v>
      </c>
      <c r="C392" t="str">
        <f>"Żelechlinek"</f>
        <v>Żelechlinek</v>
      </c>
      <c r="D392" t="str">
        <f t="shared" si="68"/>
        <v>tomaszowski</v>
      </c>
      <c r="E392" t="str">
        <f t="shared" si="71"/>
        <v>łódzkie</v>
      </c>
      <c r="F392">
        <v>4</v>
      </c>
      <c r="G392" t="str">
        <f>"Dom Ludowy w Naropnej, Naropna 1, 97-226 Żelechlinek"</f>
        <v>Dom Ludowy w Naropnej, Naropna 1, 97-226 Żelechlinek</v>
      </c>
      <c r="H392">
        <v>475</v>
      </c>
      <c r="I392">
        <v>475</v>
      </c>
      <c r="J392">
        <v>0</v>
      </c>
      <c r="K392">
        <v>330</v>
      </c>
      <c r="L392">
        <v>229</v>
      </c>
      <c r="M392">
        <v>101</v>
      </c>
      <c r="N392">
        <v>101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101</v>
      </c>
      <c r="Z392">
        <v>0</v>
      </c>
      <c r="AA392">
        <v>0</v>
      </c>
      <c r="AB392">
        <v>101</v>
      </c>
      <c r="AC392">
        <v>8</v>
      </c>
      <c r="AD392">
        <v>93</v>
      </c>
      <c r="AE392">
        <v>1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1</v>
      </c>
      <c r="AL392">
        <v>0</v>
      </c>
      <c r="AM392">
        <v>0</v>
      </c>
      <c r="AN392">
        <v>0</v>
      </c>
      <c r="AO392">
        <v>0</v>
      </c>
      <c r="AP392">
        <v>1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34</v>
      </c>
      <c r="BP392">
        <v>32</v>
      </c>
      <c r="BQ392">
        <v>2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34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2</v>
      </c>
      <c r="CN392">
        <v>0</v>
      </c>
      <c r="CO392">
        <v>0</v>
      </c>
      <c r="CP392">
        <v>0</v>
      </c>
      <c r="CQ392">
        <v>0</v>
      </c>
      <c r="CR392">
        <v>2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2</v>
      </c>
      <c r="CY392">
        <v>2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2</v>
      </c>
      <c r="DJ392">
        <v>2</v>
      </c>
      <c r="DK392">
        <v>5</v>
      </c>
      <c r="DL392">
        <v>3</v>
      </c>
      <c r="DM392">
        <v>1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1</v>
      </c>
      <c r="DT392">
        <v>0</v>
      </c>
      <c r="DU392">
        <v>0</v>
      </c>
      <c r="DV392">
        <v>5</v>
      </c>
      <c r="DW392">
        <v>49</v>
      </c>
      <c r="DX392">
        <v>0</v>
      </c>
      <c r="DY392">
        <v>1</v>
      </c>
      <c r="DZ392">
        <v>0</v>
      </c>
      <c r="EA392">
        <v>1</v>
      </c>
      <c r="EB392">
        <v>1</v>
      </c>
      <c r="EC392">
        <v>38</v>
      </c>
      <c r="ED392">
        <v>0</v>
      </c>
      <c r="EE392">
        <v>8</v>
      </c>
      <c r="EF392">
        <v>0</v>
      </c>
      <c r="EG392">
        <v>0</v>
      </c>
      <c r="EH392">
        <v>49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</row>
    <row r="393" spans="1:172" ht="14.25">
      <c r="A393">
        <v>388</v>
      </c>
      <c r="B393" t="str">
        <f aca="true" t="shared" si="72" ref="B393:B433">"106201"</f>
        <v>106201</v>
      </c>
      <c r="C393" t="str">
        <f aca="true" t="shared" si="73" ref="C393:C433">"m. Piotrków Trybunalski"</f>
        <v>m. Piotrków Trybunalski</v>
      </c>
      <c r="D393" t="str">
        <f aca="true" t="shared" si="74" ref="D393:D433">"Piotrków Trybunalski"</f>
        <v>Piotrków Trybunalski</v>
      </c>
      <c r="E393" t="str">
        <f t="shared" si="71"/>
        <v>łódzkie</v>
      </c>
      <c r="F393">
        <v>1</v>
      </c>
      <c r="G393" t="str">
        <f>"Przedszkole Samorządowe Nr 11, ul. Adama Mickiewicza 98/102, 97-300 Piotrków Trybunalski"</f>
        <v>Przedszkole Samorządowe Nr 11, ul. Adama Mickiewicza 98/102, 97-300 Piotrków Trybunalski</v>
      </c>
      <c r="H393">
        <v>1152</v>
      </c>
      <c r="I393">
        <v>1152</v>
      </c>
      <c r="J393">
        <v>0</v>
      </c>
      <c r="K393">
        <v>810</v>
      </c>
      <c r="L393">
        <v>538</v>
      </c>
      <c r="M393">
        <v>272</v>
      </c>
      <c r="N393">
        <v>272</v>
      </c>
      <c r="O393">
        <v>0</v>
      </c>
      <c r="P393">
        <v>0</v>
      </c>
      <c r="Q393">
        <v>1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272</v>
      </c>
      <c r="Z393">
        <v>0</v>
      </c>
      <c r="AA393">
        <v>0</v>
      </c>
      <c r="AB393">
        <v>272</v>
      </c>
      <c r="AC393">
        <v>5</v>
      </c>
      <c r="AD393">
        <v>267</v>
      </c>
      <c r="AE393">
        <v>9</v>
      </c>
      <c r="AF393">
        <v>1</v>
      </c>
      <c r="AG393">
        <v>2</v>
      </c>
      <c r="AH393">
        <v>5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1</v>
      </c>
      <c r="AP393">
        <v>9</v>
      </c>
      <c r="AQ393">
        <v>4</v>
      </c>
      <c r="AR393">
        <v>0</v>
      </c>
      <c r="AS393">
        <v>2</v>
      </c>
      <c r="AT393">
        <v>0</v>
      </c>
      <c r="AU393">
        <v>1</v>
      </c>
      <c r="AV393">
        <v>1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4</v>
      </c>
      <c r="BC393">
        <v>32</v>
      </c>
      <c r="BD393">
        <v>9</v>
      </c>
      <c r="BE393">
        <v>1</v>
      </c>
      <c r="BF393">
        <v>0</v>
      </c>
      <c r="BG393">
        <v>0</v>
      </c>
      <c r="BH393">
        <v>3</v>
      </c>
      <c r="BI393">
        <v>4</v>
      </c>
      <c r="BJ393">
        <v>1</v>
      </c>
      <c r="BK393">
        <v>0</v>
      </c>
      <c r="BL393">
        <v>0</v>
      </c>
      <c r="BM393">
        <v>14</v>
      </c>
      <c r="BN393">
        <v>32</v>
      </c>
      <c r="BO393">
        <v>129</v>
      </c>
      <c r="BP393">
        <v>109</v>
      </c>
      <c r="BQ393">
        <v>4</v>
      </c>
      <c r="BR393">
        <v>7</v>
      </c>
      <c r="BS393">
        <v>2</v>
      </c>
      <c r="BT393">
        <v>0</v>
      </c>
      <c r="BU393">
        <v>0</v>
      </c>
      <c r="BV393">
        <v>1</v>
      </c>
      <c r="BW393">
        <v>1</v>
      </c>
      <c r="BX393">
        <v>5</v>
      </c>
      <c r="BY393">
        <v>0</v>
      </c>
      <c r="BZ393">
        <v>129</v>
      </c>
      <c r="CA393">
        <v>7</v>
      </c>
      <c r="CB393">
        <v>1</v>
      </c>
      <c r="CC393">
        <v>4</v>
      </c>
      <c r="CD393">
        <v>2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7</v>
      </c>
      <c r="CM393">
        <v>6</v>
      </c>
      <c r="CN393">
        <v>1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4</v>
      </c>
      <c r="CV393">
        <v>0</v>
      </c>
      <c r="CW393">
        <v>1</v>
      </c>
      <c r="CX393">
        <v>6</v>
      </c>
      <c r="CY393">
        <v>11</v>
      </c>
      <c r="CZ393">
        <v>4</v>
      </c>
      <c r="DA393">
        <v>0</v>
      </c>
      <c r="DB393">
        <v>1</v>
      </c>
      <c r="DC393">
        <v>1</v>
      </c>
      <c r="DD393">
        <v>0</v>
      </c>
      <c r="DE393">
        <v>1</v>
      </c>
      <c r="DF393">
        <v>0</v>
      </c>
      <c r="DG393">
        <v>2</v>
      </c>
      <c r="DH393">
        <v>2</v>
      </c>
      <c r="DI393">
        <v>0</v>
      </c>
      <c r="DJ393">
        <v>11</v>
      </c>
      <c r="DK393">
        <v>64</v>
      </c>
      <c r="DL393">
        <v>48</v>
      </c>
      <c r="DM393">
        <v>11</v>
      </c>
      <c r="DN393">
        <v>0</v>
      </c>
      <c r="DO393">
        <v>1</v>
      </c>
      <c r="DP393">
        <v>0</v>
      </c>
      <c r="DQ393">
        <v>0</v>
      </c>
      <c r="DR393">
        <v>3</v>
      </c>
      <c r="DS393">
        <v>0</v>
      </c>
      <c r="DT393">
        <v>0</v>
      </c>
      <c r="DU393">
        <v>1</v>
      </c>
      <c r="DV393">
        <v>64</v>
      </c>
      <c r="DW393">
        <v>5</v>
      </c>
      <c r="DX393">
        <v>0</v>
      </c>
      <c r="DY393">
        <v>1</v>
      </c>
      <c r="DZ393">
        <v>0</v>
      </c>
      <c r="EA393">
        <v>1</v>
      </c>
      <c r="EB393">
        <v>2</v>
      </c>
      <c r="EC393">
        <v>1</v>
      </c>
      <c r="ED393">
        <v>0</v>
      </c>
      <c r="EE393">
        <v>0</v>
      </c>
      <c r="EF393">
        <v>0</v>
      </c>
      <c r="EG393">
        <v>0</v>
      </c>
      <c r="EH393">
        <v>5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0</v>
      </c>
      <c r="FP393">
        <v>0</v>
      </c>
    </row>
    <row r="394" spans="1:172" ht="14.25">
      <c r="A394">
        <v>389</v>
      </c>
      <c r="B394" t="str">
        <f t="shared" si="72"/>
        <v>106201</v>
      </c>
      <c r="C394" t="str">
        <f t="shared" si="73"/>
        <v>m. Piotrków Trybunalski</v>
      </c>
      <c r="D394" t="str">
        <f t="shared" si="74"/>
        <v>Piotrków Trybunalski</v>
      </c>
      <c r="E394" t="str">
        <f t="shared" si="71"/>
        <v>łódzkie</v>
      </c>
      <c r="F394">
        <v>2</v>
      </c>
      <c r="G394" t="str">
        <f>"Szkoła Podstawowa Nr 5 z Oddziałami Integracyjnymi, ul. Jerozolimska 73, 97-300 Piotrków Trybunalski"</f>
        <v>Szkoła Podstawowa Nr 5 z Oddziałami Integracyjnymi, ul. Jerozolimska 73, 97-300 Piotrków Trybunalski</v>
      </c>
      <c r="H394">
        <v>1086</v>
      </c>
      <c r="I394">
        <v>1086</v>
      </c>
      <c r="J394">
        <v>0</v>
      </c>
      <c r="K394">
        <v>758</v>
      </c>
      <c r="L394">
        <v>499</v>
      </c>
      <c r="M394">
        <v>259</v>
      </c>
      <c r="N394">
        <v>259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259</v>
      </c>
      <c r="Z394">
        <v>0</v>
      </c>
      <c r="AA394">
        <v>0</v>
      </c>
      <c r="AB394">
        <v>259</v>
      </c>
      <c r="AC394">
        <v>9</v>
      </c>
      <c r="AD394">
        <v>250</v>
      </c>
      <c r="AE394">
        <v>2</v>
      </c>
      <c r="AF394">
        <v>0</v>
      </c>
      <c r="AG394">
        <v>0</v>
      </c>
      <c r="AH394">
        <v>1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1</v>
      </c>
      <c r="AP394">
        <v>2</v>
      </c>
      <c r="AQ394">
        <v>5</v>
      </c>
      <c r="AR394">
        <v>4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1</v>
      </c>
      <c r="AZ394">
        <v>0</v>
      </c>
      <c r="BA394">
        <v>0</v>
      </c>
      <c r="BB394">
        <v>5</v>
      </c>
      <c r="BC394">
        <v>13</v>
      </c>
      <c r="BD394">
        <v>3</v>
      </c>
      <c r="BE394">
        <v>1</v>
      </c>
      <c r="BF394">
        <v>1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8</v>
      </c>
      <c r="BN394">
        <v>13</v>
      </c>
      <c r="BO394">
        <v>130</v>
      </c>
      <c r="BP394">
        <v>106</v>
      </c>
      <c r="BQ394">
        <v>8</v>
      </c>
      <c r="BR394">
        <v>0</v>
      </c>
      <c r="BS394">
        <v>3</v>
      </c>
      <c r="BT394">
        <v>0</v>
      </c>
      <c r="BU394">
        <v>2</v>
      </c>
      <c r="BV394">
        <v>1</v>
      </c>
      <c r="BW394">
        <v>0</v>
      </c>
      <c r="BX394">
        <v>8</v>
      </c>
      <c r="BY394">
        <v>2</v>
      </c>
      <c r="BZ394">
        <v>130</v>
      </c>
      <c r="CA394">
        <v>10</v>
      </c>
      <c r="CB394">
        <v>4</v>
      </c>
      <c r="CC394">
        <v>1</v>
      </c>
      <c r="CD394">
        <v>0</v>
      </c>
      <c r="CE394">
        <v>0</v>
      </c>
      <c r="CF394">
        <v>0</v>
      </c>
      <c r="CG394">
        <v>0</v>
      </c>
      <c r="CH394">
        <v>1</v>
      </c>
      <c r="CI394">
        <v>0</v>
      </c>
      <c r="CJ394">
        <v>4</v>
      </c>
      <c r="CK394">
        <v>0</v>
      </c>
      <c r="CL394">
        <v>10</v>
      </c>
      <c r="CM394">
        <v>7</v>
      </c>
      <c r="CN394">
        <v>3</v>
      </c>
      <c r="CO394">
        <v>2</v>
      </c>
      <c r="CP394">
        <v>0</v>
      </c>
      <c r="CQ394">
        <v>0</v>
      </c>
      <c r="CR394">
        <v>0</v>
      </c>
      <c r="CS394">
        <v>1</v>
      </c>
      <c r="CT394">
        <v>0</v>
      </c>
      <c r="CU394">
        <v>1</v>
      </c>
      <c r="CV394">
        <v>0</v>
      </c>
      <c r="CW394">
        <v>0</v>
      </c>
      <c r="CX394">
        <v>7</v>
      </c>
      <c r="CY394">
        <v>16</v>
      </c>
      <c r="CZ394">
        <v>6</v>
      </c>
      <c r="DA394">
        <v>3</v>
      </c>
      <c r="DB394">
        <v>0</v>
      </c>
      <c r="DC394">
        <v>1</v>
      </c>
      <c r="DD394">
        <v>1</v>
      </c>
      <c r="DE394">
        <v>2</v>
      </c>
      <c r="DF394">
        <v>2</v>
      </c>
      <c r="DG394">
        <v>1</v>
      </c>
      <c r="DH394">
        <v>0</v>
      </c>
      <c r="DI394">
        <v>0</v>
      </c>
      <c r="DJ394">
        <v>16</v>
      </c>
      <c r="DK394">
        <v>53</v>
      </c>
      <c r="DL394">
        <v>42</v>
      </c>
      <c r="DM394">
        <v>5</v>
      </c>
      <c r="DN394">
        <v>1</v>
      </c>
      <c r="DO394">
        <v>1</v>
      </c>
      <c r="DP394">
        <v>0</v>
      </c>
      <c r="DQ394">
        <v>0</v>
      </c>
      <c r="DR394">
        <v>0</v>
      </c>
      <c r="DS394">
        <v>2</v>
      </c>
      <c r="DT394">
        <v>1</v>
      </c>
      <c r="DU394">
        <v>1</v>
      </c>
      <c r="DV394">
        <v>53</v>
      </c>
      <c r="DW394">
        <v>12</v>
      </c>
      <c r="DX394">
        <v>2</v>
      </c>
      <c r="DY394">
        <v>3</v>
      </c>
      <c r="DZ394">
        <v>0</v>
      </c>
      <c r="EA394">
        <v>0</v>
      </c>
      <c r="EB394">
        <v>2</v>
      </c>
      <c r="EC394">
        <v>1</v>
      </c>
      <c r="ED394">
        <v>0</v>
      </c>
      <c r="EE394">
        <v>4</v>
      </c>
      <c r="EF394">
        <v>0</v>
      </c>
      <c r="EG394">
        <v>0</v>
      </c>
      <c r="EH394">
        <v>12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2</v>
      </c>
      <c r="FF394">
        <v>0</v>
      </c>
      <c r="FG394">
        <v>0</v>
      </c>
      <c r="FH394">
        <v>0</v>
      </c>
      <c r="FI394">
        <v>1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1</v>
      </c>
      <c r="FP394">
        <v>2</v>
      </c>
    </row>
    <row r="395" spans="1:172" ht="14.25">
      <c r="A395">
        <v>390</v>
      </c>
      <c r="B395" t="str">
        <f t="shared" si="72"/>
        <v>106201</v>
      </c>
      <c r="C395" t="str">
        <f t="shared" si="73"/>
        <v>m. Piotrków Trybunalski</v>
      </c>
      <c r="D395" t="str">
        <f t="shared" si="74"/>
        <v>Piotrków Trybunalski</v>
      </c>
      <c r="E395" t="str">
        <f t="shared" si="71"/>
        <v>łódzkie</v>
      </c>
      <c r="F395">
        <v>3</v>
      </c>
      <c r="G395" t="str">
        <f>"Pogotowie Opiekuńcze, ul. Wojska Polskiego 75, 97-300 Piotrków Trybunalski"</f>
        <v>Pogotowie Opiekuńcze, ul. Wojska Polskiego 75, 97-300 Piotrków Trybunalski</v>
      </c>
      <c r="H395">
        <v>1716</v>
      </c>
      <c r="I395">
        <v>1716</v>
      </c>
      <c r="J395">
        <v>0</v>
      </c>
      <c r="K395">
        <v>1209</v>
      </c>
      <c r="L395">
        <v>874</v>
      </c>
      <c r="M395">
        <v>335</v>
      </c>
      <c r="N395">
        <v>335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335</v>
      </c>
      <c r="Z395">
        <v>0</v>
      </c>
      <c r="AA395">
        <v>0</v>
      </c>
      <c r="AB395">
        <v>335</v>
      </c>
      <c r="AC395">
        <v>14</v>
      </c>
      <c r="AD395">
        <v>321</v>
      </c>
      <c r="AE395">
        <v>5</v>
      </c>
      <c r="AF395">
        <v>3</v>
      </c>
      <c r="AG395">
        <v>0</v>
      </c>
      <c r="AH395">
        <v>0</v>
      </c>
      <c r="AI395">
        <v>0</v>
      </c>
      <c r="AJ395">
        <v>1</v>
      </c>
      <c r="AK395">
        <v>0</v>
      </c>
      <c r="AL395">
        <v>0</v>
      </c>
      <c r="AM395">
        <v>0</v>
      </c>
      <c r="AN395">
        <v>1</v>
      </c>
      <c r="AO395">
        <v>0</v>
      </c>
      <c r="AP395">
        <v>5</v>
      </c>
      <c r="AQ395">
        <v>3</v>
      </c>
      <c r="AR395">
        <v>1</v>
      </c>
      <c r="AS395">
        <v>1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1</v>
      </c>
      <c r="BB395">
        <v>3</v>
      </c>
      <c r="BC395">
        <v>42</v>
      </c>
      <c r="BD395">
        <v>12</v>
      </c>
      <c r="BE395">
        <v>3</v>
      </c>
      <c r="BF395">
        <v>2</v>
      </c>
      <c r="BG395">
        <v>0</v>
      </c>
      <c r="BH395">
        <v>4</v>
      </c>
      <c r="BI395">
        <v>2</v>
      </c>
      <c r="BJ395">
        <v>0</v>
      </c>
      <c r="BK395">
        <v>1</v>
      </c>
      <c r="BL395">
        <v>1</v>
      </c>
      <c r="BM395">
        <v>17</v>
      </c>
      <c r="BN395">
        <v>42</v>
      </c>
      <c r="BO395">
        <v>116</v>
      </c>
      <c r="BP395">
        <v>93</v>
      </c>
      <c r="BQ395">
        <v>6</v>
      </c>
      <c r="BR395">
        <v>7</v>
      </c>
      <c r="BS395">
        <v>2</v>
      </c>
      <c r="BT395">
        <v>0</v>
      </c>
      <c r="BU395">
        <v>0</v>
      </c>
      <c r="BV395">
        <v>0</v>
      </c>
      <c r="BW395">
        <v>0</v>
      </c>
      <c r="BX395">
        <v>7</v>
      </c>
      <c r="BY395">
        <v>1</v>
      </c>
      <c r="BZ395">
        <v>116</v>
      </c>
      <c r="CA395">
        <v>6</v>
      </c>
      <c r="CB395">
        <v>4</v>
      </c>
      <c r="CC395">
        <v>1</v>
      </c>
      <c r="CD395">
        <v>1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6</v>
      </c>
      <c r="CM395">
        <v>9</v>
      </c>
      <c r="CN395">
        <v>8</v>
      </c>
      <c r="CO395">
        <v>0</v>
      </c>
      <c r="CP395">
        <v>0</v>
      </c>
      <c r="CQ395">
        <v>0</v>
      </c>
      <c r="CR395">
        <v>1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9</v>
      </c>
      <c r="CY395">
        <v>22</v>
      </c>
      <c r="CZ395">
        <v>15</v>
      </c>
      <c r="DA395">
        <v>1</v>
      </c>
      <c r="DB395">
        <v>0</v>
      </c>
      <c r="DC395">
        <v>1</v>
      </c>
      <c r="DD395">
        <v>0</v>
      </c>
      <c r="DE395">
        <v>0</v>
      </c>
      <c r="DF395">
        <v>4</v>
      </c>
      <c r="DG395">
        <v>0</v>
      </c>
      <c r="DH395">
        <v>1</v>
      </c>
      <c r="DI395">
        <v>0</v>
      </c>
      <c r="DJ395">
        <v>22</v>
      </c>
      <c r="DK395">
        <v>100</v>
      </c>
      <c r="DL395">
        <v>78</v>
      </c>
      <c r="DM395">
        <v>12</v>
      </c>
      <c r="DN395">
        <v>1</v>
      </c>
      <c r="DO395">
        <v>1</v>
      </c>
      <c r="DP395">
        <v>3</v>
      </c>
      <c r="DQ395">
        <v>2</v>
      </c>
      <c r="DR395">
        <v>1</v>
      </c>
      <c r="DS395">
        <v>0</v>
      </c>
      <c r="DT395">
        <v>1</v>
      </c>
      <c r="DU395">
        <v>1</v>
      </c>
      <c r="DV395">
        <v>100</v>
      </c>
      <c r="DW395">
        <v>17</v>
      </c>
      <c r="DX395">
        <v>2</v>
      </c>
      <c r="DY395">
        <v>3</v>
      </c>
      <c r="DZ395">
        <v>0</v>
      </c>
      <c r="EA395">
        <v>0</v>
      </c>
      <c r="EB395">
        <v>7</v>
      </c>
      <c r="EC395">
        <v>2</v>
      </c>
      <c r="ED395">
        <v>1</v>
      </c>
      <c r="EE395">
        <v>0</v>
      </c>
      <c r="EF395">
        <v>0</v>
      </c>
      <c r="EG395">
        <v>2</v>
      </c>
      <c r="EH395">
        <v>17</v>
      </c>
      <c r="EI395">
        <v>1</v>
      </c>
      <c r="EJ395">
        <v>0</v>
      </c>
      <c r="EK395">
        <v>1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1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</row>
    <row r="396" spans="1:172" ht="14.25">
      <c r="A396">
        <v>391</v>
      </c>
      <c r="B396" t="str">
        <f t="shared" si="72"/>
        <v>106201</v>
      </c>
      <c r="C396" t="str">
        <f t="shared" si="73"/>
        <v>m. Piotrków Trybunalski</v>
      </c>
      <c r="D396" t="str">
        <f t="shared" si="74"/>
        <v>Piotrków Trybunalski</v>
      </c>
      <c r="E396" t="str">
        <f t="shared" si="71"/>
        <v>łódzkie</v>
      </c>
      <c r="F396">
        <v>4</v>
      </c>
      <c r="G396" t="str">
        <f>"Miejska Biblioteka Publiczna, ul. Jerozolimska 29, 97-300 Piotrków Trybunalski"</f>
        <v>Miejska Biblioteka Publiczna, ul. Jerozolimska 29, 97-300 Piotrków Trybunalski</v>
      </c>
      <c r="H396">
        <v>1616</v>
      </c>
      <c r="I396">
        <v>1616</v>
      </c>
      <c r="J396">
        <v>0</v>
      </c>
      <c r="K396">
        <v>1132</v>
      </c>
      <c r="L396">
        <v>880</v>
      </c>
      <c r="M396">
        <v>252</v>
      </c>
      <c r="N396">
        <v>252</v>
      </c>
      <c r="O396">
        <v>0</v>
      </c>
      <c r="P396">
        <v>0</v>
      </c>
      <c r="Q396">
        <v>4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252</v>
      </c>
      <c r="Z396">
        <v>0</v>
      </c>
      <c r="AA396">
        <v>0</v>
      </c>
      <c r="AB396">
        <v>252</v>
      </c>
      <c r="AC396">
        <v>3</v>
      </c>
      <c r="AD396">
        <v>249</v>
      </c>
      <c r="AE396">
        <v>6</v>
      </c>
      <c r="AF396">
        <v>2</v>
      </c>
      <c r="AG396">
        <v>1</v>
      </c>
      <c r="AH396">
        <v>0</v>
      </c>
      <c r="AI396">
        <v>0</v>
      </c>
      <c r="AJ396">
        <v>1</v>
      </c>
      <c r="AK396">
        <v>0</v>
      </c>
      <c r="AL396">
        <v>0</v>
      </c>
      <c r="AM396">
        <v>2</v>
      </c>
      <c r="AN396">
        <v>0</v>
      </c>
      <c r="AO396">
        <v>0</v>
      </c>
      <c r="AP396">
        <v>6</v>
      </c>
      <c r="AQ396">
        <v>8</v>
      </c>
      <c r="AR396">
        <v>5</v>
      </c>
      <c r="AS396">
        <v>0</v>
      </c>
      <c r="AT396">
        <v>0</v>
      </c>
      <c r="AU396">
        <v>2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1</v>
      </c>
      <c r="BB396">
        <v>8</v>
      </c>
      <c r="BC396">
        <v>35</v>
      </c>
      <c r="BD396">
        <v>3</v>
      </c>
      <c r="BE396">
        <v>1</v>
      </c>
      <c r="BF396">
        <v>1</v>
      </c>
      <c r="BG396">
        <v>1</v>
      </c>
      <c r="BH396">
        <v>7</v>
      </c>
      <c r="BI396">
        <v>0</v>
      </c>
      <c r="BJ396">
        <v>0</v>
      </c>
      <c r="BK396">
        <v>1</v>
      </c>
      <c r="BL396">
        <v>0</v>
      </c>
      <c r="BM396">
        <v>21</v>
      </c>
      <c r="BN396">
        <v>35</v>
      </c>
      <c r="BO396">
        <v>99</v>
      </c>
      <c r="BP396">
        <v>81</v>
      </c>
      <c r="BQ396">
        <v>3</v>
      </c>
      <c r="BR396">
        <v>9</v>
      </c>
      <c r="BS396">
        <v>0</v>
      </c>
      <c r="BT396">
        <v>1</v>
      </c>
      <c r="BU396">
        <v>1</v>
      </c>
      <c r="BV396">
        <v>0</v>
      </c>
      <c r="BW396">
        <v>0</v>
      </c>
      <c r="BX396">
        <v>0</v>
      </c>
      <c r="BY396">
        <v>4</v>
      </c>
      <c r="BZ396">
        <v>99</v>
      </c>
      <c r="CA396">
        <v>4</v>
      </c>
      <c r="CB396">
        <v>1</v>
      </c>
      <c r="CC396">
        <v>0</v>
      </c>
      <c r="CD396">
        <v>1</v>
      </c>
      <c r="CE396">
        <v>0</v>
      </c>
      <c r="CF396">
        <v>0</v>
      </c>
      <c r="CG396">
        <v>0</v>
      </c>
      <c r="CH396">
        <v>1</v>
      </c>
      <c r="CI396">
        <v>1</v>
      </c>
      <c r="CJ396">
        <v>0</v>
      </c>
      <c r="CK396">
        <v>0</v>
      </c>
      <c r="CL396">
        <v>4</v>
      </c>
      <c r="CM396">
        <v>4</v>
      </c>
      <c r="CN396">
        <v>1</v>
      </c>
      <c r="CO396">
        <v>1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2</v>
      </c>
      <c r="CV396">
        <v>0</v>
      </c>
      <c r="CW396">
        <v>0</v>
      </c>
      <c r="CX396">
        <v>4</v>
      </c>
      <c r="CY396">
        <v>20</v>
      </c>
      <c r="CZ396">
        <v>16</v>
      </c>
      <c r="DA396">
        <v>2</v>
      </c>
      <c r="DB396">
        <v>0</v>
      </c>
      <c r="DC396">
        <v>0</v>
      </c>
      <c r="DD396">
        <v>1</v>
      </c>
      <c r="DE396">
        <v>0</v>
      </c>
      <c r="DF396">
        <v>0</v>
      </c>
      <c r="DG396">
        <v>0</v>
      </c>
      <c r="DH396">
        <v>0</v>
      </c>
      <c r="DI396">
        <v>1</v>
      </c>
      <c r="DJ396">
        <v>20</v>
      </c>
      <c r="DK396">
        <v>64</v>
      </c>
      <c r="DL396">
        <v>40</v>
      </c>
      <c r="DM396">
        <v>13</v>
      </c>
      <c r="DN396">
        <v>0</v>
      </c>
      <c r="DO396">
        <v>4</v>
      </c>
      <c r="DP396">
        <v>1</v>
      </c>
      <c r="DQ396">
        <v>0</v>
      </c>
      <c r="DR396">
        <v>2</v>
      </c>
      <c r="DS396">
        <v>4</v>
      </c>
      <c r="DT396">
        <v>0</v>
      </c>
      <c r="DU396">
        <v>0</v>
      </c>
      <c r="DV396">
        <v>64</v>
      </c>
      <c r="DW396">
        <v>4</v>
      </c>
      <c r="DX396">
        <v>0</v>
      </c>
      <c r="DY396">
        <v>1</v>
      </c>
      <c r="DZ396">
        <v>0</v>
      </c>
      <c r="EA396">
        <v>0</v>
      </c>
      <c r="EB396">
        <v>1</v>
      </c>
      <c r="EC396">
        <v>0</v>
      </c>
      <c r="ED396">
        <v>0</v>
      </c>
      <c r="EE396">
        <v>1</v>
      </c>
      <c r="EF396">
        <v>0</v>
      </c>
      <c r="EG396">
        <v>1</v>
      </c>
      <c r="EH396">
        <v>4</v>
      </c>
      <c r="EI396">
        <v>2</v>
      </c>
      <c r="EJ396">
        <v>0</v>
      </c>
      <c r="EK396">
        <v>2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2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3</v>
      </c>
      <c r="FF396">
        <v>0</v>
      </c>
      <c r="FG396">
        <v>1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2</v>
      </c>
      <c r="FO396">
        <v>0</v>
      </c>
      <c r="FP396">
        <v>3</v>
      </c>
    </row>
    <row r="397" spans="1:172" ht="14.25">
      <c r="A397">
        <v>392</v>
      </c>
      <c r="B397" t="str">
        <f t="shared" si="72"/>
        <v>106201</v>
      </c>
      <c r="C397" t="str">
        <f t="shared" si="73"/>
        <v>m. Piotrków Trybunalski</v>
      </c>
      <c r="D397" t="str">
        <f t="shared" si="74"/>
        <v>Piotrków Trybunalski</v>
      </c>
      <c r="E397" t="str">
        <f t="shared" si="71"/>
        <v>łódzkie</v>
      </c>
      <c r="F397">
        <v>5</v>
      </c>
      <c r="G397" t="str">
        <f>"Zespół Szkół Ponadgimnazjalnych Nr 4, ul. Henryka Sienkiewicza 10/12, 97-300 Piotrków Trybunalski"</f>
        <v>Zespół Szkół Ponadgimnazjalnych Nr 4, ul. Henryka Sienkiewicza 10/12, 97-300 Piotrków Trybunalski</v>
      </c>
      <c r="H397">
        <v>897</v>
      </c>
      <c r="I397">
        <v>897</v>
      </c>
      <c r="J397">
        <v>0</v>
      </c>
      <c r="K397">
        <v>640</v>
      </c>
      <c r="L397">
        <v>482</v>
      </c>
      <c r="M397">
        <v>158</v>
      </c>
      <c r="N397">
        <v>158</v>
      </c>
      <c r="O397">
        <v>0</v>
      </c>
      <c r="P397">
        <v>1</v>
      </c>
      <c r="Q397">
        <v>1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158</v>
      </c>
      <c r="Z397">
        <v>0</v>
      </c>
      <c r="AA397">
        <v>0</v>
      </c>
      <c r="AB397">
        <v>158</v>
      </c>
      <c r="AC397">
        <v>2</v>
      </c>
      <c r="AD397">
        <v>156</v>
      </c>
      <c r="AE397">
        <v>3</v>
      </c>
      <c r="AF397">
        <v>1</v>
      </c>
      <c r="AG397">
        <v>0</v>
      </c>
      <c r="AH397">
        <v>2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3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22</v>
      </c>
      <c r="BD397">
        <v>6</v>
      </c>
      <c r="BE397">
        <v>0</v>
      </c>
      <c r="BF397">
        <v>0</v>
      </c>
      <c r="BG397">
        <v>0</v>
      </c>
      <c r="BH397">
        <v>2</v>
      </c>
      <c r="BI397">
        <v>1</v>
      </c>
      <c r="BJ397">
        <v>1</v>
      </c>
      <c r="BK397">
        <v>1</v>
      </c>
      <c r="BL397">
        <v>1</v>
      </c>
      <c r="BM397">
        <v>10</v>
      </c>
      <c r="BN397">
        <v>22</v>
      </c>
      <c r="BO397">
        <v>70</v>
      </c>
      <c r="BP397">
        <v>54</v>
      </c>
      <c r="BQ397">
        <v>4</v>
      </c>
      <c r="BR397">
        <v>7</v>
      </c>
      <c r="BS397">
        <v>0</v>
      </c>
      <c r="BT397">
        <v>1</v>
      </c>
      <c r="BU397">
        <v>1</v>
      </c>
      <c r="BV397">
        <v>0</v>
      </c>
      <c r="BW397">
        <v>1</v>
      </c>
      <c r="BX397">
        <v>1</v>
      </c>
      <c r="BY397">
        <v>1</v>
      </c>
      <c r="BZ397">
        <v>70</v>
      </c>
      <c r="CA397">
        <v>4</v>
      </c>
      <c r="CB397">
        <v>1</v>
      </c>
      <c r="CC397">
        <v>0</v>
      </c>
      <c r="CD397">
        <v>0</v>
      </c>
      <c r="CE397">
        <v>2</v>
      </c>
      <c r="CF397">
        <v>0</v>
      </c>
      <c r="CG397">
        <v>0</v>
      </c>
      <c r="CH397">
        <v>0</v>
      </c>
      <c r="CI397">
        <v>1</v>
      </c>
      <c r="CJ397">
        <v>0</v>
      </c>
      <c r="CK397">
        <v>0</v>
      </c>
      <c r="CL397">
        <v>4</v>
      </c>
      <c r="CM397">
        <v>6</v>
      </c>
      <c r="CN397">
        <v>4</v>
      </c>
      <c r="CO397">
        <v>2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6</v>
      </c>
      <c r="CY397">
        <v>11</v>
      </c>
      <c r="CZ397">
        <v>8</v>
      </c>
      <c r="DA397">
        <v>2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1</v>
      </c>
      <c r="DI397">
        <v>0</v>
      </c>
      <c r="DJ397">
        <v>11</v>
      </c>
      <c r="DK397">
        <v>34</v>
      </c>
      <c r="DL397">
        <v>24</v>
      </c>
      <c r="DM397">
        <v>7</v>
      </c>
      <c r="DN397">
        <v>2</v>
      </c>
      <c r="DO397">
        <v>0</v>
      </c>
      <c r="DP397">
        <v>1</v>
      </c>
      <c r="DQ397">
        <v>0</v>
      </c>
      <c r="DR397">
        <v>0</v>
      </c>
      <c r="DS397">
        <v>0</v>
      </c>
      <c r="DT397">
        <v>0</v>
      </c>
      <c r="DU397">
        <v>0</v>
      </c>
      <c r="DV397">
        <v>34</v>
      </c>
      <c r="DW397">
        <v>5</v>
      </c>
      <c r="DX397">
        <v>0</v>
      </c>
      <c r="DY397">
        <v>2</v>
      </c>
      <c r="DZ397">
        <v>0</v>
      </c>
      <c r="EA397">
        <v>0</v>
      </c>
      <c r="EB397">
        <v>0</v>
      </c>
      <c r="EC397">
        <v>1</v>
      </c>
      <c r="ED397">
        <v>0</v>
      </c>
      <c r="EE397">
        <v>2</v>
      </c>
      <c r="EF397">
        <v>0</v>
      </c>
      <c r="EG397">
        <v>0</v>
      </c>
      <c r="EH397">
        <v>5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1</v>
      </c>
      <c r="FF397">
        <v>0</v>
      </c>
      <c r="FG397">
        <v>0</v>
      </c>
      <c r="FH397">
        <v>0</v>
      </c>
      <c r="FI397">
        <v>1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1</v>
      </c>
    </row>
    <row r="398" spans="1:172" ht="14.25">
      <c r="A398">
        <v>393</v>
      </c>
      <c r="B398" t="str">
        <f t="shared" si="72"/>
        <v>106201</v>
      </c>
      <c r="C398" t="str">
        <f t="shared" si="73"/>
        <v>m. Piotrków Trybunalski</v>
      </c>
      <c r="D398" t="str">
        <f t="shared" si="74"/>
        <v>Piotrków Trybunalski</v>
      </c>
      <c r="E398" t="str">
        <f t="shared" si="71"/>
        <v>łódzkie</v>
      </c>
      <c r="F398">
        <v>6</v>
      </c>
      <c r="G398" t="str">
        <f>"Zespół Szkół Ponadgimnazjalnych Nr 5, ul. Leonarda 12/14, 97-300 Piotrków Trybunalski"</f>
        <v>Zespół Szkół Ponadgimnazjalnych Nr 5, ul. Leonarda 12/14, 97-300 Piotrków Trybunalski</v>
      </c>
      <c r="H398">
        <v>1590</v>
      </c>
      <c r="I398">
        <v>1590</v>
      </c>
      <c r="J398">
        <v>0</v>
      </c>
      <c r="K398">
        <v>1122</v>
      </c>
      <c r="L398">
        <v>727</v>
      </c>
      <c r="M398">
        <v>395</v>
      </c>
      <c r="N398">
        <v>395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395</v>
      </c>
      <c r="Z398">
        <v>0</v>
      </c>
      <c r="AA398">
        <v>0</v>
      </c>
      <c r="AB398">
        <v>395</v>
      </c>
      <c r="AC398">
        <v>14</v>
      </c>
      <c r="AD398">
        <v>381</v>
      </c>
      <c r="AE398">
        <v>4</v>
      </c>
      <c r="AF398">
        <v>2</v>
      </c>
      <c r="AG398">
        <v>0</v>
      </c>
      <c r="AH398">
        <v>1</v>
      </c>
      <c r="AI398">
        <v>0</v>
      </c>
      <c r="AJ398">
        <v>0</v>
      </c>
      <c r="AK398">
        <v>0</v>
      </c>
      <c r="AL398">
        <v>0</v>
      </c>
      <c r="AM398">
        <v>1</v>
      </c>
      <c r="AN398">
        <v>0</v>
      </c>
      <c r="AO398">
        <v>0</v>
      </c>
      <c r="AP398">
        <v>4</v>
      </c>
      <c r="AQ398">
        <v>5</v>
      </c>
      <c r="AR398">
        <v>2</v>
      </c>
      <c r="AS398">
        <v>0</v>
      </c>
      <c r="AT398">
        <v>0</v>
      </c>
      <c r="AU398">
        <v>1</v>
      </c>
      <c r="AV398">
        <v>1</v>
      </c>
      <c r="AW398">
        <v>0</v>
      </c>
      <c r="AX398">
        <v>1</v>
      </c>
      <c r="AY398">
        <v>0</v>
      </c>
      <c r="AZ398">
        <v>0</v>
      </c>
      <c r="BA398">
        <v>0</v>
      </c>
      <c r="BB398">
        <v>5</v>
      </c>
      <c r="BC398">
        <v>47</v>
      </c>
      <c r="BD398">
        <v>14</v>
      </c>
      <c r="BE398">
        <v>0</v>
      </c>
      <c r="BF398">
        <v>2</v>
      </c>
      <c r="BG398">
        <v>0</v>
      </c>
      <c r="BH398">
        <v>6</v>
      </c>
      <c r="BI398">
        <v>0</v>
      </c>
      <c r="BJ398">
        <v>3</v>
      </c>
      <c r="BK398">
        <v>1</v>
      </c>
      <c r="BL398">
        <v>2</v>
      </c>
      <c r="BM398">
        <v>19</v>
      </c>
      <c r="BN398">
        <v>47</v>
      </c>
      <c r="BO398">
        <v>139</v>
      </c>
      <c r="BP398">
        <v>112</v>
      </c>
      <c r="BQ398">
        <v>5</v>
      </c>
      <c r="BR398">
        <v>9</v>
      </c>
      <c r="BS398">
        <v>1</v>
      </c>
      <c r="BT398">
        <v>0</v>
      </c>
      <c r="BU398">
        <v>3</v>
      </c>
      <c r="BV398">
        <v>0</v>
      </c>
      <c r="BW398">
        <v>0</v>
      </c>
      <c r="BX398">
        <v>7</v>
      </c>
      <c r="BY398">
        <v>2</v>
      </c>
      <c r="BZ398">
        <v>139</v>
      </c>
      <c r="CA398">
        <v>4</v>
      </c>
      <c r="CB398">
        <v>4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4</v>
      </c>
      <c r="CM398">
        <v>10</v>
      </c>
      <c r="CN398">
        <v>7</v>
      </c>
      <c r="CO398">
        <v>0</v>
      </c>
      <c r="CP398">
        <v>1</v>
      </c>
      <c r="CQ398">
        <v>0</v>
      </c>
      <c r="CR398">
        <v>0</v>
      </c>
      <c r="CS398">
        <v>0</v>
      </c>
      <c r="CT398">
        <v>1</v>
      </c>
      <c r="CU398">
        <v>1</v>
      </c>
      <c r="CV398">
        <v>0</v>
      </c>
      <c r="CW398">
        <v>0</v>
      </c>
      <c r="CX398">
        <v>10</v>
      </c>
      <c r="CY398">
        <v>28</v>
      </c>
      <c r="CZ398">
        <v>16</v>
      </c>
      <c r="DA398">
        <v>1</v>
      </c>
      <c r="DB398">
        <v>2</v>
      </c>
      <c r="DC398">
        <v>1</v>
      </c>
      <c r="DD398">
        <v>2</v>
      </c>
      <c r="DE398">
        <v>0</v>
      </c>
      <c r="DF398">
        <v>0</v>
      </c>
      <c r="DG398">
        <v>2</v>
      </c>
      <c r="DH398">
        <v>2</v>
      </c>
      <c r="DI398">
        <v>2</v>
      </c>
      <c r="DJ398">
        <v>28</v>
      </c>
      <c r="DK398">
        <v>126</v>
      </c>
      <c r="DL398">
        <v>88</v>
      </c>
      <c r="DM398">
        <v>20</v>
      </c>
      <c r="DN398">
        <v>2</v>
      </c>
      <c r="DO398">
        <v>4</v>
      </c>
      <c r="DP398">
        <v>3</v>
      </c>
      <c r="DQ398">
        <v>3</v>
      </c>
      <c r="DR398">
        <v>0</v>
      </c>
      <c r="DS398">
        <v>1</v>
      </c>
      <c r="DT398">
        <v>3</v>
      </c>
      <c r="DU398">
        <v>2</v>
      </c>
      <c r="DV398">
        <v>126</v>
      </c>
      <c r="DW398">
        <v>16</v>
      </c>
      <c r="DX398">
        <v>0</v>
      </c>
      <c r="DY398">
        <v>1</v>
      </c>
      <c r="DZ398">
        <v>0</v>
      </c>
      <c r="EA398">
        <v>1</v>
      </c>
      <c r="EB398">
        <v>8</v>
      </c>
      <c r="EC398">
        <v>0</v>
      </c>
      <c r="ED398">
        <v>1</v>
      </c>
      <c r="EE398">
        <v>1</v>
      </c>
      <c r="EF398">
        <v>1</v>
      </c>
      <c r="EG398">
        <v>3</v>
      </c>
      <c r="EH398">
        <v>16</v>
      </c>
      <c r="EI398">
        <v>1</v>
      </c>
      <c r="EJ398">
        <v>0</v>
      </c>
      <c r="EK398">
        <v>1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1</v>
      </c>
      <c r="ES398">
        <v>1</v>
      </c>
      <c r="ET398">
        <v>0</v>
      </c>
      <c r="EU398">
        <v>0</v>
      </c>
      <c r="EV398">
        <v>0</v>
      </c>
      <c r="EW398">
        <v>1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1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</row>
    <row r="399" spans="1:172" ht="14.25">
      <c r="A399">
        <v>394</v>
      </c>
      <c r="B399" t="str">
        <f t="shared" si="72"/>
        <v>106201</v>
      </c>
      <c r="C399" t="str">
        <f t="shared" si="73"/>
        <v>m. Piotrków Trybunalski</v>
      </c>
      <c r="D399" t="str">
        <f t="shared" si="74"/>
        <v>Piotrków Trybunalski</v>
      </c>
      <c r="E399" t="str">
        <f t="shared" si="71"/>
        <v>łódzkie</v>
      </c>
      <c r="F399">
        <v>7</v>
      </c>
      <c r="G399" t="str">
        <f>"Szkoła Policealna Samorządu Województwa Łódzkiego, ul. Ks. Piotra Skargi 3, 97-300 Piotrków Trybunalski"</f>
        <v>Szkoła Policealna Samorządu Województwa Łódzkiego, ul. Ks. Piotra Skargi 3, 97-300 Piotrków Trybunalski</v>
      </c>
      <c r="H399">
        <v>1717</v>
      </c>
      <c r="I399">
        <v>1717</v>
      </c>
      <c r="J399">
        <v>0</v>
      </c>
      <c r="K399">
        <v>1220</v>
      </c>
      <c r="L399">
        <v>885</v>
      </c>
      <c r="M399">
        <v>335</v>
      </c>
      <c r="N399">
        <v>335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335</v>
      </c>
      <c r="Z399">
        <v>0</v>
      </c>
      <c r="AA399">
        <v>0</v>
      </c>
      <c r="AB399">
        <v>335</v>
      </c>
      <c r="AC399">
        <v>8</v>
      </c>
      <c r="AD399">
        <v>327</v>
      </c>
      <c r="AE399">
        <v>7</v>
      </c>
      <c r="AF399">
        <v>2</v>
      </c>
      <c r="AG399">
        <v>0</v>
      </c>
      <c r="AH399">
        <v>1</v>
      </c>
      <c r="AI399">
        <v>0</v>
      </c>
      <c r="AJ399">
        <v>1</v>
      </c>
      <c r="AK399">
        <v>0</v>
      </c>
      <c r="AL399">
        <v>0</v>
      </c>
      <c r="AM399">
        <v>0</v>
      </c>
      <c r="AN399">
        <v>2</v>
      </c>
      <c r="AO399">
        <v>1</v>
      </c>
      <c r="AP399">
        <v>7</v>
      </c>
      <c r="AQ399">
        <v>3</v>
      </c>
      <c r="AR399">
        <v>2</v>
      </c>
      <c r="AS399">
        <v>0</v>
      </c>
      <c r="AT399">
        <v>0</v>
      </c>
      <c r="AU399">
        <v>0</v>
      </c>
      <c r="AV399">
        <v>0</v>
      </c>
      <c r="AW399">
        <v>1</v>
      </c>
      <c r="AX399">
        <v>0</v>
      </c>
      <c r="AY399">
        <v>0</v>
      </c>
      <c r="AZ399">
        <v>0</v>
      </c>
      <c r="BA399">
        <v>0</v>
      </c>
      <c r="BB399">
        <v>3</v>
      </c>
      <c r="BC399">
        <v>54</v>
      </c>
      <c r="BD399">
        <v>10</v>
      </c>
      <c r="BE399">
        <v>6</v>
      </c>
      <c r="BF399">
        <v>0</v>
      </c>
      <c r="BG399">
        <v>1</v>
      </c>
      <c r="BH399">
        <v>9</v>
      </c>
      <c r="BI399">
        <v>3</v>
      </c>
      <c r="BJ399">
        <v>2</v>
      </c>
      <c r="BK399">
        <v>1</v>
      </c>
      <c r="BL399">
        <v>0</v>
      </c>
      <c r="BM399">
        <v>22</v>
      </c>
      <c r="BN399">
        <v>54</v>
      </c>
      <c r="BO399">
        <v>154</v>
      </c>
      <c r="BP399">
        <v>124</v>
      </c>
      <c r="BQ399">
        <v>11</v>
      </c>
      <c r="BR399">
        <v>5</v>
      </c>
      <c r="BS399">
        <v>0</v>
      </c>
      <c r="BT399">
        <v>3</v>
      </c>
      <c r="BU399">
        <v>0</v>
      </c>
      <c r="BV399">
        <v>1</v>
      </c>
      <c r="BW399">
        <v>0</v>
      </c>
      <c r="BX399">
        <v>8</v>
      </c>
      <c r="BY399">
        <v>2</v>
      </c>
      <c r="BZ399">
        <v>154</v>
      </c>
      <c r="CA399">
        <v>7</v>
      </c>
      <c r="CB399">
        <v>2</v>
      </c>
      <c r="CC399">
        <v>1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4</v>
      </c>
      <c r="CL399">
        <v>7</v>
      </c>
      <c r="CM399">
        <v>5</v>
      </c>
      <c r="CN399">
        <v>4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1</v>
      </c>
      <c r="CV399">
        <v>0</v>
      </c>
      <c r="CW399">
        <v>0</v>
      </c>
      <c r="CX399">
        <v>5</v>
      </c>
      <c r="CY399">
        <v>14</v>
      </c>
      <c r="CZ399">
        <v>11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1</v>
      </c>
      <c r="DG399">
        <v>1</v>
      </c>
      <c r="DH399">
        <v>0</v>
      </c>
      <c r="DI399">
        <v>1</v>
      </c>
      <c r="DJ399">
        <v>14</v>
      </c>
      <c r="DK399">
        <v>73</v>
      </c>
      <c r="DL399">
        <v>40</v>
      </c>
      <c r="DM399">
        <v>21</v>
      </c>
      <c r="DN399">
        <v>5</v>
      </c>
      <c r="DO399">
        <v>0</v>
      </c>
      <c r="DP399">
        <v>0</v>
      </c>
      <c r="DQ399">
        <v>1</v>
      </c>
      <c r="DR399">
        <v>4</v>
      </c>
      <c r="DS399">
        <v>0</v>
      </c>
      <c r="DT399">
        <v>1</v>
      </c>
      <c r="DU399">
        <v>1</v>
      </c>
      <c r="DV399">
        <v>73</v>
      </c>
      <c r="DW399">
        <v>6</v>
      </c>
      <c r="DX399">
        <v>1</v>
      </c>
      <c r="DY399">
        <v>0</v>
      </c>
      <c r="DZ399">
        <v>0</v>
      </c>
      <c r="EA399">
        <v>0</v>
      </c>
      <c r="EB399">
        <v>3</v>
      </c>
      <c r="EC399">
        <v>0</v>
      </c>
      <c r="ED399">
        <v>1</v>
      </c>
      <c r="EE399">
        <v>1</v>
      </c>
      <c r="EF399">
        <v>0</v>
      </c>
      <c r="EG399">
        <v>0</v>
      </c>
      <c r="EH399">
        <v>6</v>
      </c>
      <c r="EI399">
        <v>2</v>
      </c>
      <c r="EJ399">
        <v>0</v>
      </c>
      <c r="EK399">
        <v>1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1</v>
      </c>
      <c r="ER399">
        <v>2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2</v>
      </c>
      <c r="FF399">
        <v>1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1</v>
      </c>
      <c r="FP399">
        <v>2</v>
      </c>
    </row>
    <row r="400" spans="1:172" ht="14.25">
      <c r="A400">
        <v>395</v>
      </c>
      <c r="B400" t="str">
        <f t="shared" si="72"/>
        <v>106201</v>
      </c>
      <c r="C400" t="str">
        <f t="shared" si="73"/>
        <v>m. Piotrków Trybunalski</v>
      </c>
      <c r="D400" t="str">
        <f t="shared" si="74"/>
        <v>Piotrków Trybunalski</v>
      </c>
      <c r="E400" t="str">
        <f t="shared" si="71"/>
        <v>łódzkie</v>
      </c>
      <c r="F400">
        <v>8</v>
      </c>
      <c r="G400" t="str">
        <f>"Lokal Wyborczy, ul. Zamurowa 10, 97-300 Piotrków Trybunalski"</f>
        <v>Lokal Wyborczy, ul. Zamurowa 10, 97-300 Piotrków Trybunalski</v>
      </c>
      <c r="H400">
        <v>1019</v>
      </c>
      <c r="I400">
        <v>1019</v>
      </c>
      <c r="J400">
        <v>0</v>
      </c>
      <c r="K400">
        <v>720</v>
      </c>
      <c r="L400">
        <v>584</v>
      </c>
      <c r="M400">
        <v>136</v>
      </c>
      <c r="N400">
        <v>136</v>
      </c>
      <c r="O400">
        <v>0</v>
      </c>
      <c r="P400">
        <v>0</v>
      </c>
      <c r="Q400">
        <v>1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136</v>
      </c>
      <c r="Z400">
        <v>0</v>
      </c>
      <c r="AA400">
        <v>0</v>
      </c>
      <c r="AB400">
        <v>136</v>
      </c>
      <c r="AC400">
        <v>5</v>
      </c>
      <c r="AD400">
        <v>131</v>
      </c>
      <c r="AE400">
        <v>4</v>
      </c>
      <c r="AF400">
        <v>0</v>
      </c>
      <c r="AG400">
        <v>2</v>
      </c>
      <c r="AH400">
        <v>0</v>
      </c>
      <c r="AI400">
        <v>1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1</v>
      </c>
      <c r="AP400">
        <v>4</v>
      </c>
      <c r="AQ400">
        <v>3</v>
      </c>
      <c r="AR400">
        <v>1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2</v>
      </c>
      <c r="BA400">
        <v>0</v>
      </c>
      <c r="BB400">
        <v>3</v>
      </c>
      <c r="BC400">
        <v>16</v>
      </c>
      <c r="BD400">
        <v>2</v>
      </c>
      <c r="BE400">
        <v>1</v>
      </c>
      <c r="BF400">
        <v>0</v>
      </c>
      <c r="BG400">
        <v>0</v>
      </c>
      <c r="BH400">
        <v>2</v>
      </c>
      <c r="BI400">
        <v>1</v>
      </c>
      <c r="BJ400">
        <v>0</v>
      </c>
      <c r="BK400">
        <v>0</v>
      </c>
      <c r="BL400">
        <v>0</v>
      </c>
      <c r="BM400">
        <v>10</v>
      </c>
      <c r="BN400">
        <v>16</v>
      </c>
      <c r="BO400">
        <v>54</v>
      </c>
      <c r="BP400">
        <v>41</v>
      </c>
      <c r="BQ400">
        <v>0</v>
      </c>
      <c r="BR400">
        <v>3</v>
      </c>
      <c r="BS400">
        <v>1</v>
      </c>
      <c r="BT400">
        <v>1</v>
      </c>
      <c r="BU400">
        <v>3</v>
      </c>
      <c r="BV400">
        <v>1</v>
      </c>
      <c r="BW400">
        <v>0</v>
      </c>
      <c r="BX400">
        <v>2</v>
      </c>
      <c r="BY400">
        <v>2</v>
      </c>
      <c r="BZ400">
        <v>54</v>
      </c>
      <c r="CA400">
        <v>2</v>
      </c>
      <c r="CB400">
        <v>0</v>
      </c>
      <c r="CC400">
        <v>1</v>
      </c>
      <c r="CD400">
        <v>0</v>
      </c>
      <c r="CE400">
        <v>0</v>
      </c>
      <c r="CF400">
        <v>0</v>
      </c>
      <c r="CG400">
        <v>1</v>
      </c>
      <c r="CH400">
        <v>0</v>
      </c>
      <c r="CI400">
        <v>0</v>
      </c>
      <c r="CJ400">
        <v>0</v>
      </c>
      <c r="CK400">
        <v>0</v>
      </c>
      <c r="CL400">
        <v>2</v>
      </c>
      <c r="CM400">
        <v>1</v>
      </c>
      <c r="CN400">
        <v>1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1</v>
      </c>
      <c r="CY400">
        <v>15</v>
      </c>
      <c r="CZ400">
        <v>13</v>
      </c>
      <c r="DA400">
        <v>1</v>
      </c>
      <c r="DB400">
        <v>0</v>
      </c>
      <c r="DC400">
        <v>0</v>
      </c>
      <c r="DD400">
        <v>1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15</v>
      </c>
      <c r="DK400">
        <v>31</v>
      </c>
      <c r="DL400">
        <v>22</v>
      </c>
      <c r="DM400">
        <v>6</v>
      </c>
      <c r="DN400">
        <v>1</v>
      </c>
      <c r="DO400">
        <v>0</v>
      </c>
      <c r="DP400">
        <v>0</v>
      </c>
      <c r="DQ400">
        <v>0</v>
      </c>
      <c r="DR400">
        <v>1</v>
      </c>
      <c r="DS400">
        <v>0</v>
      </c>
      <c r="DT400">
        <v>0</v>
      </c>
      <c r="DU400">
        <v>1</v>
      </c>
      <c r="DV400">
        <v>31</v>
      </c>
      <c r="DW400">
        <v>3</v>
      </c>
      <c r="DX400">
        <v>1</v>
      </c>
      <c r="DY400">
        <v>0</v>
      </c>
      <c r="DZ400">
        <v>1</v>
      </c>
      <c r="EA400">
        <v>0</v>
      </c>
      <c r="EB400">
        <v>0</v>
      </c>
      <c r="EC400">
        <v>1</v>
      </c>
      <c r="ED400">
        <v>0</v>
      </c>
      <c r="EE400">
        <v>0</v>
      </c>
      <c r="EF400">
        <v>0</v>
      </c>
      <c r="EG400">
        <v>0</v>
      </c>
      <c r="EH400">
        <v>3</v>
      </c>
      <c r="EI400">
        <v>2</v>
      </c>
      <c r="EJ400">
        <v>0</v>
      </c>
      <c r="EK400">
        <v>1</v>
      </c>
      <c r="EL400">
        <v>0</v>
      </c>
      <c r="EM400">
        <v>0</v>
      </c>
      <c r="EN400">
        <v>0</v>
      </c>
      <c r="EO400">
        <v>0</v>
      </c>
      <c r="EP400">
        <v>1</v>
      </c>
      <c r="EQ400">
        <v>0</v>
      </c>
      <c r="ER400">
        <v>2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</row>
    <row r="401" spans="1:172" ht="14.25">
      <c r="A401">
        <v>396</v>
      </c>
      <c r="B401" t="str">
        <f t="shared" si="72"/>
        <v>106201</v>
      </c>
      <c r="C401" t="str">
        <f t="shared" si="73"/>
        <v>m. Piotrków Trybunalski</v>
      </c>
      <c r="D401" t="str">
        <f t="shared" si="74"/>
        <v>Piotrków Trybunalski</v>
      </c>
      <c r="E401" t="str">
        <f t="shared" si="71"/>
        <v>łódzkie</v>
      </c>
      <c r="F401">
        <v>9</v>
      </c>
      <c r="G401" t="str">
        <f>"I Liceum Ogólnokształcące im. Bolesława Chrobrego, Al. Mikołaja Kopernika 1, 97-300 Piotrków Trybunalski"</f>
        <v>I Liceum Ogólnokształcące im. Bolesława Chrobrego, Al. Mikołaja Kopernika 1, 97-300 Piotrków Trybunalski</v>
      </c>
      <c r="H401">
        <v>878</v>
      </c>
      <c r="I401">
        <v>878</v>
      </c>
      <c r="J401">
        <v>0</v>
      </c>
      <c r="K401">
        <v>620</v>
      </c>
      <c r="L401">
        <v>526</v>
      </c>
      <c r="M401">
        <v>94</v>
      </c>
      <c r="N401">
        <v>94</v>
      </c>
      <c r="O401">
        <v>0</v>
      </c>
      <c r="P401">
        <v>0</v>
      </c>
      <c r="Q401">
        <v>1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94</v>
      </c>
      <c r="Z401">
        <v>0</v>
      </c>
      <c r="AA401">
        <v>0</v>
      </c>
      <c r="AB401">
        <v>94</v>
      </c>
      <c r="AC401">
        <v>7</v>
      </c>
      <c r="AD401">
        <v>87</v>
      </c>
      <c r="AE401">
        <v>4</v>
      </c>
      <c r="AF401">
        <v>2</v>
      </c>
      <c r="AG401">
        <v>2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4</v>
      </c>
      <c r="AQ401">
        <v>2</v>
      </c>
      <c r="AR401">
        <v>0</v>
      </c>
      <c r="AS401">
        <v>0</v>
      </c>
      <c r="AT401">
        <v>0</v>
      </c>
      <c r="AU401">
        <v>2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2</v>
      </c>
      <c r="BC401">
        <v>15</v>
      </c>
      <c r="BD401">
        <v>8</v>
      </c>
      <c r="BE401">
        <v>0</v>
      </c>
      <c r="BF401">
        <v>0</v>
      </c>
      <c r="BG401">
        <v>0</v>
      </c>
      <c r="BH401">
        <v>2</v>
      </c>
      <c r="BI401">
        <v>0</v>
      </c>
      <c r="BJ401">
        <v>0</v>
      </c>
      <c r="BK401">
        <v>0</v>
      </c>
      <c r="BL401">
        <v>0</v>
      </c>
      <c r="BM401">
        <v>5</v>
      </c>
      <c r="BN401">
        <v>15</v>
      </c>
      <c r="BO401">
        <v>39</v>
      </c>
      <c r="BP401">
        <v>29</v>
      </c>
      <c r="BQ401">
        <v>5</v>
      </c>
      <c r="BR401">
        <v>1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4</v>
      </c>
      <c r="BY401">
        <v>0</v>
      </c>
      <c r="BZ401">
        <v>39</v>
      </c>
      <c r="CA401">
        <v>1</v>
      </c>
      <c r="CB401">
        <v>0</v>
      </c>
      <c r="CC401">
        <v>0</v>
      </c>
      <c r="CD401">
        <v>0</v>
      </c>
      <c r="CE401">
        <v>0</v>
      </c>
      <c r="CF401">
        <v>1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1</v>
      </c>
      <c r="CM401">
        <v>1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1</v>
      </c>
      <c r="CV401">
        <v>0</v>
      </c>
      <c r="CW401">
        <v>0</v>
      </c>
      <c r="CX401">
        <v>1</v>
      </c>
      <c r="CY401">
        <v>7</v>
      </c>
      <c r="CZ401">
        <v>5</v>
      </c>
      <c r="DA401">
        <v>0</v>
      </c>
      <c r="DB401">
        <v>0</v>
      </c>
      <c r="DC401">
        <v>0</v>
      </c>
      <c r="DD401">
        <v>1</v>
      </c>
      <c r="DE401">
        <v>0</v>
      </c>
      <c r="DF401">
        <v>0</v>
      </c>
      <c r="DG401">
        <v>0</v>
      </c>
      <c r="DH401">
        <v>0</v>
      </c>
      <c r="DI401">
        <v>1</v>
      </c>
      <c r="DJ401">
        <v>7</v>
      </c>
      <c r="DK401">
        <v>15</v>
      </c>
      <c r="DL401">
        <v>9</v>
      </c>
      <c r="DM401">
        <v>3</v>
      </c>
      <c r="DN401">
        <v>2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1</v>
      </c>
      <c r="DU401">
        <v>0</v>
      </c>
      <c r="DV401">
        <v>15</v>
      </c>
      <c r="DW401">
        <v>3</v>
      </c>
      <c r="DX401">
        <v>0</v>
      </c>
      <c r="DY401">
        <v>0</v>
      </c>
      <c r="DZ401">
        <v>0</v>
      </c>
      <c r="EA401">
        <v>0</v>
      </c>
      <c r="EB401">
        <v>2</v>
      </c>
      <c r="EC401">
        <v>0</v>
      </c>
      <c r="ED401">
        <v>1</v>
      </c>
      <c r="EE401">
        <v>0</v>
      </c>
      <c r="EF401">
        <v>0</v>
      </c>
      <c r="EG401">
        <v>0</v>
      </c>
      <c r="EH401">
        <v>3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</row>
    <row r="402" spans="1:172" ht="14.25">
      <c r="A402">
        <v>397</v>
      </c>
      <c r="B402" t="str">
        <f t="shared" si="72"/>
        <v>106201</v>
      </c>
      <c r="C402" t="str">
        <f t="shared" si="73"/>
        <v>m. Piotrków Trybunalski</v>
      </c>
      <c r="D402" t="str">
        <f t="shared" si="74"/>
        <v>Piotrków Trybunalski</v>
      </c>
      <c r="E402" t="str">
        <f t="shared" si="71"/>
        <v>łódzkie</v>
      </c>
      <c r="F402">
        <v>10</v>
      </c>
      <c r="G402" t="str">
        <f>"Przedszkole Samorządowe Nr 5, ul. Kazimierza Wielkiego 5, 97-300 Piotrków Trybunalski"</f>
        <v>Przedszkole Samorządowe Nr 5, ul. Kazimierza Wielkiego 5, 97-300 Piotrków Trybunalski</v>
      </c>
      <c r="H402">
        <v>1277</v>
      </c>
      <c r="I402">
        <v>1277</v>
      </c>
      <c r="J402">
        <v>0</v>
      </c>
      <c r="K402">
        <v>890</v>
      </c>
      <c r="L402">
        <v>576</v>
      </c>
      <c r="M402">
        <v>314</v>
      </c>
      <c r="N402">
        <v>314</v>
      </c>
      <c r="O402">
        <v>0</v>
      </c>
      <c r="P402">
        <v>1</v>
      </c>
      <c r="Q402">
        <v>4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314</v>
      </c>
      <c r="Z402">
        <v>0</v>
      </c>
      <c r="AA402">
        <v>0</v>
      </c>
      <c r="AB402">
        <v>314</v>
      </c>
      <c r="AC402">
        <v>12</v>
      </c>
      <c r="AD402">
        <v>302</v>
      </c>
      <c r="AE402">
        <v>7</v>
      </c>
      <c r="AF402">
        <v>1</v>
      </c>
      <c r="AG402">
        <v>0</v>
      </c>
      <c r="AH402">
        <v>2</v>
      </c>
      <c r="AI402">
        <v>1</v>
      </c>
      <c r="AJ402">
        <v>0</v>
      </c>
      <c r="AK402">
        <v>0</v>
      </c>
      <c r="AL402">
        <v>1</v>
      </c>
      <c r="AM402">
        <v>1</v>
      </c>
      <c r="AN402">
        <v>0</v>
      </c>
      <c r="AO402">
        <v>1</v>
      </c>
      <c r="AP402">
        <v>7</v>
      </c>
      <c r="AQ402">
        <v>4</v>
      </c>
      <c r="AR402">
        <v>3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1</v>
      </c>
      <c r="BB402">
        <v>4</v>
      </c>
      <c r="BC402">
        <v>42</v>
      </c>
      <c r="BD402">
        <v>5</v>
      </c>
      <c r="BE402">
        <v>0</v>
      </c>
      <c r="BF402">
        <v>0</v>
      </c>
      <c r="BG402">
        <v>2</v>
      </c>
      <c r="BH402">
        <v>4</v>
      </c>
      <c r="BI402">
        <v>6</v>
      </c>
      <c r="BJ402">
        <v>1</v>
      </c>
      <c r="BK402">
        <v>0</v>
      </c>
      <c r="BL402">
        <v>0</v>
      </c>
      <c r="BM402">
        <v>24</v>
      </c>
      <c r="BN402">
        <v>42</v>
      </c>
      <c r="BO402">
        <v>123</v>
      </c>
      <c r="BP402">
        <v>95</v>
      </c>
      <c r="BQ402">
        <v>1</v>
      </c>
      <c r="BR402">
        <v>13</v>
      </c>
      <c r="BS402">
        <v>2</v>
      </c>
      <c r="BT402">
        <v>0</v>
      </c>
      <c r="BU402">
        <v>4</v>
      </c>
      <c r="BV402">
        <v>0</v>
      </c>
      <c r="BW402">
        <v>1</v>
      </c>
      <c r="BX402">
        <v>6</v>
      </c>
      <c r="BY402">
        <v>1</v>
      </c>
      <c r="BZ402">
        <v>123</v>
      </c>
      <c r="CA402">
        <v>8</v>
      </c>
      <c r="CB402">
        <v>1</v>
      </c>
      <c r="CC402">
        <v>0</v>
      </c>
      <c r="CD402">
        <v>0</v>
      </c>
      <c r="CE402">
        <v>0</v>
      </c>
      <c r="CF402">
        <v>0</v>
      </c>
      <c r="CG402">
        <v>5</v>
      </c>
      <c r="CH402">
        <v>0</v>
      </c>
      <c r="CI402">
        <v>1</v>
      </c>
      <c r="CJ402">
        <v>0</v>
      </c>
      <c r="CK402">
        <v>1</v>
      </c>
      <c r="CL402">
        <v>8</v>
      </c>
      <c r="CM402">
        <v>7</v>
      </c>
      <c r="CN402">
        <v>3</v>
      </c>
      <c r="CO402">
        <v>0</v>
      </c>
      <c r="CP402">
        <v>0</v>
      </c>
      <c r="CQ402">
        <v>2</v>
      </c>
      <c r="CR402">
        <v>0</v>
      </c>
      <c r="CS402">
        <v>0</v>
      </c>
      <c r="CT402">
        <v>2</v>
      </c>
      <c r="CU402">
        <v>0</v>
      </c>
      <c r="CV402">
        <v>0</v>
      </c>
      <c r="CW402">
        <v>0</v>
      </c>
      <c r="CX402">
        <v>7</v>
      </c>
      <c r="CY402">
        <v>8</v>
      </c>
      <c r="CZ402">
        <v>7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1</v>
      </c>
      <c r="DI402">
        <v>0</v>
      </c>
      <c r="DJ402">
        <v>8</v>
      </c>
      <c r="DK402">
        <v>86</v>
      </c>
      <c r="DL402">
        <v>69</v>
      </c>
      <c r="DM402">
        <v>13</v>
      </c>
      <c r="DN402">
        <v>1</v>
      </c>
      <c r="DO402">
        <v>0</v>
      </c>
      <c r="DP402">
        <v>1</v>
      </c>
      <c r="DQ402">
        <v>0</v>
      </c>
      <c r="DR402">
        <v>2</v>
      </c>
      <c r="DS402">
        <v>0</v>
      </c>
      <c r="DT402">
        <v>0</v>
      </c>
      <c r="DU402">
        <v>0</v>
      </c>
      <c r="DV402">
        <v>86</v>
      </c>
      <c r="DW402">
        <v>9</v>
      </c>
      <c r="DX402">
        <v>0</v>
      </c>
      <c r="DY402">
        <v>1</v>
      </c>
      <c r="DZ402">
        <v>0</v>
      </c>
      <c r="EA402">
        <v>2</v>
      </c>
      <c r="EB402">
        <v>5</v>
      </c>
      <c r="EC402">
        <v>1</v>
      </c>
      <c r="ED402">
        <v>0</v>
      </c>
      <c r="EE402">
        <v>0</v>
      </c>
      <c r="EF402">
        <v>0</v>
      </c>
      <c r="EG402">
        <v>0</v>
      </c>
      <c r="EH402">
        <v>9</v>
      </c>
      <c r="EI402">
        <v>5</v>
      </c>
      <c r="EJ402">
        <v>1</v>
      </c>
      <c r="EK402">
        <v>3</v>
      </c>
      <c r="EL402">
        <v>0</v>
      </c>
      <c r="EM402">
        <v>0</v>
      </c>
      <c r="EN402">
        <v>0</v>
      </c>
      <c r="EO402">
        <v>0</v>
      </c>
      <c r="EP402">
        <v>1</v>
      </c>
      <c r="EQ402">
        <v>0</v>
      </c>
      <c r="ER402">
        <v>5</v>
      </c>
      <c r="ES402">
        <v>1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1</v>
      </c>
      <c r="FD402">
        <v>1</v>
      </c>
      <c r="FE402">
        <v>2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1</v>
      </c>
      <c r="FN402">
        <v>0</v>
      </c>
      <c r="FO402">
        <v>1</v>
      </c>
      <c r="FP402">
        <v>2</v>
      </c>
    </row>
    <row r="403" spans="1:172" ht="14.25">
      <c r="A403">
        <v>398</v>
      </c>
      <c r="B403" t="str">
        <f t="shared" si="72"/>
        <v>106201</v>
      </c>
      <c r="C403" t="str">
        <f t="shared" si="73"/>
        <v>m. Piotrków Trybunalski</v>
      </c>
      <c r="D403" t="str">
        <f t="shared" si="74"/>
        <v>Piotrków Trybunalski</v>
      </c>
      <c r="E403" t="str">
        <f t="shared" si="71"/>
        <v>łódzkie</v>
      </c>
      <c r="F403">
        <v>11</v>
      </c>
      <c r="G403" t="str">
        <f>"Gimnazjum Nr 4, ul. Adama Próchnika 8/12, 97-300 Piotrków Trybunalski"</f>
        <v>Gimnazjum Nr 4, ul. Adama Próchnika 8/12, 97-300 Piotrków Trybunalski</v>
      </c>
      <c r="H403">
        <v>1764</v>
      </c>
      <c r="I403">
        <v>1764</v>
      </c>
      <c r="J403">
        <v>0</v>
      </c>
      <c r="K403">
        <v>1248</v>
      </c>
      <c r="L403">
        <v>810</v>
      </c>
      <c r="M403">
        <v>438</v>
      </c>
      <c r="N403">
        <v>438</v>
      </c>
      <c r="O403">
        <v>0</v>
      </c>
      <c r="P403">
        <v>1</v>
      </c>
      <c r="Q403">
        <v>2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437</v>
      </c>
      <c r="Z403">
        <v>0</v>
      </c>
      <c r="AA403">
        <v>0</v>
      </c>
      <c r="AB403">
        <v>437</v>
      </c>
      <c r="AC403">
        <v>11</v>
      </c>
      <c r="AD403">
        <v>426</v>
      </c>
      <c r="AE403">
        <v>7</v>
      </c>
      <c r="AF403">
        <v>2</v>
      </c>
      <c r="AG403">
        <v>3</v>
      </c>
      <c r="AH403">
        <v>1</v>
      </c>
      <c r="AI403">
        <v>1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7</v>
      </c>
      <c r="AQ403">
        <v>3</v>
      </c>
      <c r="AR403">
        <v>3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3</v>
      </c>
      <c r="BC403">
        <v>64</v>
      </c>
      <c r="BD403">
        <v>14</v>
      </c>
      <c r="BE403">
        <v>1</v>
      </c>
      <c r="BF403">
        <v>0</v>
      </c>
      <c r="BG403">
        <v>2</v>
      </c>
      <c r="BH403">
        <v>9</v>
      </c>
      <c r="BI403">
        <v>3</v>
      </c>
      <c r="BJ403">
        <v>0</v>
      </c>
      <c r="BK403">
        <v>2</v>
      </c>
      <c r="BL403">
        <v>0</v>
      </c>
      <c r="BM403">
        <v>33</v>
      </c>
      <c r="BN403">
        <v>64</v>
      </c>
      <c r="BO403">
        <v>178</v>
      </c>
      <c r="BP403">
        <v>139</v>
      </c>
      <c r="BQ403">
        <v>6</v>
      </c>
      <c r="BR403">
        <v>10</v>
      </c>
      <c r="BS403">
        <v>2</v>
      </c>
      <c r="BT403">
        <v>2</v>
      </c>
      <c r="BU403">
        <v>2</v>
      </c>
      <c r="BV403">
        <v>0</v>
      </c>
      <c r="BW403">
        <v>2</v>
      </c>
      <c r="BX403">
        <v>10</v>
      </c>
      <c r="BY403">
        <v>5</v>
      </c>
      <c r="BZ403">
        <v>178</v>
      </c>
      <c r="CA403">
        <v>9</v>
      </c>
      <c r="CB403">
        <v>3</v>
      </c>
      <c r="CC403">
        <v>2</v>
      </c>
      <c r="CD403">
        <v>1</v>
      </c>
      <c r="CE403">
        <v>1</v>
      </c>
      <c r="CF403">
        <v>1</v>
      </c>
      <c r="CG403">
        <v>0</v>
      </c>
      <c r="CH403">
        <v>1</v>
      </c>
      <c r="CI403">
        <v>0</v>
      </c>
      <c r="CJ403">
        <v>0</v>
      </c>
      <c r="CK403">
        <v>0</v>
      </c>
      <c r="CL403">
        <v>9</v>
      </c>
      <c r="CM403">
        <v>11</v>
      </c>
      <c r="CN403">
        <v>1</v>
      </c>
      <c r="CO403">
        <v>1</v>
      </c>
      <c r="CP403">
        <v>3</v>
      </c>
      <c r="CQ403">
        <v>1</v>
      </c>
      <c r="CR403">
        <v>0</v>
      </c>
      <c r="CS403">
        <v>0</v>
      </c>
      <c r="CT403">
        <v>0</v>
      </c>
      <c r="CU403">
        <v>5</v>
      </c>
      <c r="CV403">
        <v>0</v>
      </c>
      <c r="CW403">
        <v>0</v>
      </c>
      <c r="CX403">
        <v>11</v>
      </c>
      <c r="CY403">
        <v>15</v>
      </c>
      <c r="CZ403">
        <v>11</v>
      </c>
      <c r="DA403">
        <v>3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1</v>
      </c>
      <c r="DI403">
        <v>0</v>
      </c>
      <c r="DJ403">
        <v>15</v>
      </c>
      <c r="DK403">
        <v>122</v>
      </c>
      <c r="DL403">
        <v>92</v>
      </c>
      <c r="DM403">
        <v>19</v>
      </c>
      <c r="DN403">
        <v>2</v>
      </c>
      <c r="DO403">
        <v>4</v>
      </c>
      <c r="DP403">
        <v>1</v>
      </c>
      <c r="DQ403">
        <v>0</v>
      </c>
      <c r="DR403">
        <v>2</v>
      </c>
      <c r="DS403">
        <v>1</v>
      </c>
      <c r="DT403">
        <v>0</v>
      </c>
      <c r="DU403">
        <v>1</v>
      </c>
      <c r="DV403">
        <v>122</v>
      </c>
      <c r="DW403">
        <v>9</v>
      </c>
      <c r="DX403">
        <v>5</v>
      </c>
      <c r="DY403">
        <v>0</v>
      </c>
      <c r="DZ403">
        <v>0</v>
      </c>
      <c r="EA403">
        <v>0</v>
      </c>
      <c r="EB403">
        <v>3</v>
      </c>
      <c r="EC403">
        <v>1</v>
      </c>
      <c r="ED403">
        <v>0</v>
      </c>
      <c r="EE403">
        <v>0</v>
      </c>
      <c r="EF403">
        <v>0</v>
      </c>
      <c r="EG403">
        <v>0</v>
      </c>
      <c r="EH403">
        <v>9</v>
      </c>
      <c r="EI403">
        <v>7</v>
      </c>
      <c r="EJ403">
        <v>2</v>
      </c>
      <c r="EK403">
        <v>4</v>
      </c>
      <c r="EL403">
        <v>0</v>
      </c>
      <c r="EM403">
        <v>0</v>
      </c>
      <c r="EN403">
        <v>0</v>
      </c>
      <c r="EO403">
        <v>0</v>
      </c>
      <c r="EP403">
        <v>1</v>
      </c>
      <c r="EQ403">
        <v>0</v>
      </c>
      <c r="ER403">
        <v>7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1</v>
      </c>
      <c r="FF403">
        <v>1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1</v>
      </c>
    </row>
    <row r="404" spans="1:172" ht="14.25">
      <c r="A404">
        <v>399</v>
      </c>
      <c r="B404" t="str">
        <f t="shared" si="72"/>
        <v>106201</v>
      </c>
      <c r="C404" t="str">
        <f t="shared" si="73"/>
        <v>m. Piotrków Trybunalski</v>
      </c>
      <c r="D404" t="str">
        <f t="shared" si="74"/>
        <v>Piotrków Trybunalski</v>
      </c>
      <c r="E404" t="str">
        <f t="shared" si="71"/>
        <v>łódzkie</v>
      </c>
      <c r="F404">
        <v>12</v>
      </c>
      <c r="G404" t="str">
        <f>"Szkoła Podstawowa Nr 16, ul. Krakowskie Przedmieście 11, 97-300 Piotrków Trybunalski"</f>
        <v>Szkoła Podstawowa Nr 16, ul. Krakowskie Przedmieście 11, 97-300 Piotrków Trybunalski</v>
      </c>
      <c r="H404">
        <v>1984</v>
      </c>
      <c r="I404">
        <v>1984</v>
      </c>
      <c r="J404">
        <v>0</v>
      </c>
      <c r="K404">
        <v>1392</v>
      </c>
      <c r="L404">
        <v>910</v>
      </c>
      <c r="M404">
        <v>482</v>
      </c>
      <c r="N404">
        <v>482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482</v>
      </c>
      <c r="Z404">
        <v>0</v>
      </c>
      <c r="AA404">
        <v>0</v>
      </c>
      <c r="AB404">
        <v>482</v>
      </c>
      <c r="AC404">
        <v>5</v>
      </c>
      <c r="AD404">
        <v>477</v>
      </c>
      <c r="AE404">
        <v>6</v>
      </c>
      <c r="AF404">
        <v>4</v>
      </c>
      <c r="AG404">
        <v>2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6</v>
      </c>
      <c r="AQ404">
        <v>1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1</v>
      </c>
      <c r="BB404">
        <v>1</v>
      </c>
      <c r="BC404">
        <v>53</v>
      </c>
      <c r="BD404">
        <v>9</v>
      </c>
      <c r="BE404">
        <v>3</v>
      </c>
      <c r="BF404">
        <v>0</v>
      </c>
      <c r="BG404">
        <v>0</v>
      </c>
      <c r="BH404">
        <v>9</v>
      </c>
      <c r="BI404">
        <v>5</v>
      </c>
      <c r="BJ404">
        <v>4</v>
      </c>
      <c r="BK404">
        <v>1</v>
      </c>
      <c r="BL404">
        <v>0</v>
      </c>
      <c r="BM404">
        <v>22</v>
      </c>
      <c r="BN404">
        <v>53</v>
      </c>
      <c r="BO404">
        <v>193</v>
      </c>
      <c r="BP404">
        <v>143</v>
      </c>
      <c r="BQ404">
        <v>6</v>
      </c>
      <c r="BR404">
        <v>15</v>
      </c>
      <c r="BS404">
        <v>3</v>
      </c>
      <c r="BT404">
        <v>0</v>
      </c>
      <c r="BU404">
        <v>7</v>
      </c>
      <c r="BV404">
        <v>0</v>
      </c>
      <c r="BW404">
        <v>0</v>
      </c>
      <c r="BX404">
        <v>18</v>
      </c>
      <c r="BY404">
        <v>1</v>
      </c>
      <c r="BZ404">
        <v>193</v>
      </c>
      <c r="CA404">
        <v>5</v>
      </c>
      <c r="CB404">
        <v>0</v>
      </c>
      <c r="CC404">
        <v>3</v>
      </c>
      <c r="CD404">
        <v>1</v>
      </c>
      <c r="CE404">
        <v>0</v>
      </c>
      <c r="CF404">
        <v>0</v>
      </c>
      <c r="CG404">
        <v>1</v>
      </c>
      <c r="CH404">
        <v>0</v>
      </c>
      <c r="CI404">
        <v>0</v>
      </c>
      <c r="CJ404">
        <v>0</v>
      </c>
      <c r="CK404">
        <v>0</v>
      </c>
      <c r="CL404">
        <v>5</v>
      </c>
      <c r="CM404">
        <v>6</v>
      </c>
      <c r="CN404">
        <v>2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1</v>
      </c>
      <c r="CU404">
        <v>3</v>
      </c>
      <c r="CV404">
        <v>0</v>
      </c>
      <c r="CW404">
        <v>0</v>
      </c>
      <c r="CX404">
        <v>6</v>
      </c>
      <c r="CY404">
        <v>28</v>
      </c>
      <c r="CZ404">
        <v>19</v>
      </c>
      <c r="DA404">
        <v>2</v>
      </c>
      <c r="DB404">
        <v>0</v>
      </c>
      <c r="DC404">
        <v>1</v>
      </c>
      <c r="DD404">
        <v>0</v>
      </c>
      <c r="DE404">
        <v>1</v>
      </c>
      <c r="DF404">
        <v>0</v>
      </c>
      <c r="DG404">
        <v>2</v>
      </c>
      <c r="DH404">
        <v>2</v>
      </c>
      <c r="DI404">
        <v>1</v>
      </c>
      <c r="DJ404">
        <v>28</v>
      </c>
      <c r="DK404">
        <v>169</v>
      </c>
      <c r="DL404">
        <v>131</v>
      </c>
      <c r="DM404">
        <v>22</v>
      </c>
      <c r="DN404">
        <v>2</v>
      </c>
      <c r="DO404">
        <v>1</v>
      </c>
      <c r="DP404">
        <v>0</v>
      </c>
      <c r="DQ404">
        <v>1</v>
      </c>
      <c r="DR404">
        <v>8</v>
      </c>
      <c r="DS404">
        <v>1</v>
      </c>
      <c r="DT404">
        <v>3</v>
      </c>
      <c r="DU404">
        <v>0</v>
      </c>
      <c r="DV404">
        <v>169</v>
      </c>
      <c r="DW404">
        <v>12</v>
      </c>
      <c r="DX404">
        <v>1</v>
      </c>
      <c r="DY404">
        <v>2</v>
      </c>
      <c r="DZ404">
        <v>0</v>
      </c>
      <c r="EA404">
        <v>0</v>
      </c>
      <c r="EB404">
        <v>9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12</v>
      </c>
      <c r="EI404">
        <v>1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1</v>
      </c>
      <c r="EP404">
        <v>0</v>
      </c>
      <c r="EQ404">
        <v>0</v>
      </c>
      <c r="ER404">
        <v>1</v>
      </c>
      <c r="ES404">
        <v>0</v>
      </c>
      <c r="ET404">
        <v>0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3</v>
      </c>
      <c r="FF404">
        <v>1</v>
      </c>
      <c r="FG404">
        <v>0</v>
      </c>
      <c r="FH404">
        <v>0</v>
      </c>
      <c r="FI404">
        <v>1</v>
      </c>
      <c r="FJ404">
        <v>0</v>
      </c>
      <c r="FK404">
        <v>1</v>
      </c>
      <c r="FL404">
        <v>0</v>
      </c>
      <c r="FM404">
        <v>0</v>
      </c>
      <c r="FN404">
        <v>0</v>
      </c>
      <c r="FO404">
        <v>0</v>
      </c>
      <c r="FP404">
        <v>3</v>
      </c>
    </row>
    <row r="405" spans="1:172" ht="14.25">
      <c r="A405">
        <v>400</v>
      </c>
      <c r="B405" t="str">
        <f t="shared" si="72"/>
        <v>106201</v>
      </c>
      <c r="C405" t="str">
        <f t="shared" si="73"/>
        <v>m. Piotrków Trybunalski</v>
      </c>
      <c r="D405" t="str">
        <f t="shared" si="74"/>
        <v>Piotrków Trybunalski</v>
      </c>
      <c r="E405" t="str">
        <f t="shared" si="71"/>
        <v>łódzkie</v>
      </c>
      <c r="F405">
        <v>13</v>
      </c>
      <c r="G405" t="str">
        <f>"Szkoła Podstawowa Nr 11, ul. Kazimierza Szmidta 3, 97-300 Piotrków Trybunalski"</f>
        <v>Szkoła Podstawowa Nr 11, ul. Kazimierza Szmidta 3, 97-300 Piotrków Trybunalski</v>
      </c>
      <c r="H405">
        <v>1947</v>
      </c>
      <c r="I405">
        <v>1947</v>
      </c>
      <c r="J405">
        <v>0</v>
      </c>
      <c r="K405">
        <v>1338</v>
      </c>
      <c r="L405">
        <v>943</v>
      </c>
      <c r="M405">
        <v>395</v>
      </c>
      <c r="N405">
        <v>395</v>
      </c>
      <c r="O405">
        <v>0</v>
      </c>
      <c r="P405">
        <v>0</v>
      </c>
      <c r="Q405">
        <v>1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395</v>
      </c>
      <c r="Z405">
        <v>0</v>
      </c>
      <c r="AA405">
        <v>0</v>
      </c>
      <c r="AB405">
        <v>395</v>
      </c>
      <c r="AC405">
        <v>13</v>
      </c>
      <c r="AD405">
        <v>382</v>
      </c>
      <c r="AE405">
        <v>3</v>
      </c>
      <c r="AF405">
        <v>2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1</v>
      </c>
      <c r="AP405">
        <v>3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54</v>
      </c>
      <c r="BD405">
        <v>9</v>
      </c>
      <c r="BE405">
        <v>2</v>
      </c>
      <c r="BF405">
        <v>1</v>
      </c>
      <c r="BG405">
        <v>1</v>
      </c>
      <c r="BH405">
        <v>14</v>
      </c>
      <c r="BI405">
        <v>2</v>
      </c>
      <c r="BJ405">
        <v>3</v>
      </c>
      <c r="BK405">
        <v>0</v>
      </c>
      <c r="BL405">
        <v>0</v>
      </c>
      <c r="BM405">
        <v>22</v>
      </c>
      <c r="BN405">
        <v>54</v>
      </c>
      <c r="BO405">
        <v>153</v>
      </c>
      <c r="BP405">
        <v>133</v>
      </c>
      <c r="BQ405">
        <v>4</v>
      </c>
      <c r="BR405">
        <v>6</v>
      </c>
      <c r="BS405">
        <v>3</v>
      </c>
      <c r="BT405">
        <v>1</v>
      </c>
      <c r="BU405">
        <v>0</v>
      </c>
      <c r="BV405">
        <v>0</v>
      </c>
      <c r="BW405">
        <v>0</v>
      </c>
      <c r="BX405">
        <v>5</v>
      </c>
      <c r="BY405">
        <v>1</v>
      </c>
      <c r="BZ405">
        <v>153</v>
      </c>
      <c r="CA405">
        <v>3</v>
      </c>
      <c r="CB405">
        <v>1</v>
      </c>
      <c r="CC405">
        <v>1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1</v>
      </c>
      <c r="CL405">
        <v>3</v>
      </c>
      <c r="CM405">
        <v>4</v>
      </c>
      <c r="CN405">
        <v>2</v>
      </c>
      <c r="CO405">
        <v>0</v>
      </c>
      <c r="CP405">
        <v>1</v>
      </c>
      <c r="CQ405">
        <v>0</v>
      </c>
      <c r="CR405">
        <v>0</v>
      </c>
      <c r="CS405">
        <v>0</v>
      </c>
      <c r="CT405">
        <v>0</v>
      </c>
      <c r="CU405">
        <v>1</v>
      </c>
      <c r="CV405">
        <v>0</v>
      </c>
      <c r="CW405">
        <v>0</v>
      </c>
      <c r="CX405">
        <v>4</v>
      </c>
      <c r="CY405">
        <v>27</v>
      </c>
      <c r="CZ405">
        <v>22</v>
      </c>
      <c r="DA405">
        <v>3</v>
      </c>
      <c r="DB405">
        <v>0</v>
      </c>
      <c r="DC405">
        <v>1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1</v>
      </c>
      <c r="DJ405">
        <v>27</v>
      </c>
      <c r="DK405">
        <v>123</v>
      </c>
      <c r="DL405">
        <v>89</v>
      </c>
      <c r="DM405">
        <v>24</v>
      </c>
      <c r="DN405">
        <v>1</v>
      </c>
      <c r="DO405">
        <v>0</v>
      </c>
      <c r="DP405">
        <v>0</v>
      </c>
      <c r="DQ405">
        <v>1</v>
      </c>
      <c r="DR405">
        <v>3</v>
      </c>
      <c r="DS405">
        <v>0</v>
      </c>
      <c r="DT405">
        <v>3</v>
      </c>
      <c r="DU405">
        <v>2</v>
      </c>
      <c r="DV405">
        <v>123</v>
      </c>
      <c r="DW405">
        <v>14</v>
      </c>
      <c r="DX405">
        <v>4</v>
      </c>
      <c r="DY405">
        <v>2</v>
      </c>
      <c r="DZ405">
        <v>1</v>
      </c>
      <c r="EA405">
        <v>1</v>
      </c>
      <c r="EB405">
        <v>5</v>
      </c>
      <c r="EC405">
        <v>1</v>
      </c>
      <c r="ED405">
        <v>0</v>
      </c>
      <c r="EE405">
        <v>0</v>
      </c>
      <c r="EF405">
        <v>0</v>
      </c>
      <c r="EG405">
        <v>0</v>
      </c>
      <c r="EH405">
        <v>14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1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1</v>
      </c>
      <c r="FP405">
        <v>1</v>
      </c>
    </row>
    <row r="406" spans="1:172" ht="14.25">
      <c r="A406">
        <v>401</v>
      </c>
      <c r="B406" t="str">
        <f t="shared" si="72"/>
        <v>106201</v>
      </c>
      <c r="C406" t="str">
        <f t="shared" si="73"/>
        <v>m. Piotrków Trybunalski</v>
      </c>
      <c r="D406" t="str">
        <f t="shared" si="74"/>
        <v>Piotrków Trybunalski</v>
      </c>
      <c r="E406" t="str">
        <f t="shared" si="71"/>
        <v>łódzkie</v>
      </c>
      <c r="F406">
        <v>14</v>
      </c>
      <c r="G406" t="str">
        <f>"Przedszkole Samorządowe Nr 12, ul. Włókiennicza 7, 97-300 Piotrków Trybunalski"</f>
        <v>Przedszkole Samorządowe Nr 12, ul. Włókiennicza 7, 97-300 Piotrków Trybunalski</v>
      </c>
      <c r="H406">
        <v>1163</v>
      </c>
      <c r="I406">
        <v>1163</v>
      </c>
      <c r="J406">
        <v>0</v>
      </c>
      <c r="K406">
        <v>815</v>
      </c>
      <c r="L406">
        <v>509</v>
      </c>
      <c r="M406">
        <v>306</v>
      </c>
      <c r="N406">
        <v>306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306</v>
      </c>
      <c r="Z406">
        <v>0</v>
      </c>
      <c r="AA406">
        <v>0</v>
      </c>
      <c r="AB406">
        <v>306</v>
      </c>
      <c r="AC406">
        <v>5</v>
      </c>
      <c r="AD406">
        <v>301</v>
      </c>
      <c r="AE406">
        <v>2</v>
      </c>
      <c r="AF406">
        <v>2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2</v>
      </c>
      <c r="AQ406">
        <v>2</v>
      </c>
      <c r="AR406">
        <v>1</v>
      </c>
      <c r="AS406">
        <v>0</v>
      </c>
      <c r="AT406">
        <v>0</v>
      </c>
      <c r="AU406">
        <v>0</v>
      </c>
      <c r="AV406">
        <v>1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2</v>
      </c>
      <c r="BC406">
        <v>34</v>
      </c>
      <c r="BD406">
        <v>4</v>
      </c>
      <c r="BE406">
        <v>0</v>
      </c>
      <c r="BF406">
        <v>3</v>
      </c>
      <c r="BG406">
        <v>1</v>
      </c>
      <c r="BH406">
        <v>4</v>
      </c>
      <c r="BI406">
        <v>1</v>
      </c>
      <c r="BJ406">
        <v>4</v>
      </c>
      <c r="BK406">
        <v>1</v>
      </c>
      <c r="BL406">
        <v>0</v>
      </c>
      <c r="BM406">
        <v>16</v>
      </c>
      <c r="BN406">
        <v>34</v>
      </c>
      <c r="BO406">
        <v>133</v>
      </c>
      <c r="BP406">
        <v>100</v>
      </c>
      <c r="BQ406">
        <v>13</v>
      </c>
      <c r="BR406">
        <v>4</v>
      </c>
      <c r="BS406">
        <v>0</v>
      </c>
      <c r="BT406">
        <v>2</v>
      </c>
      <c r="BU406">
        <v>3</v>
      </c>
      <c r="BV406">
        <v>0</v>
      </c>
      <c r="BW406">
        <v>2</v>
      </c>
      <c r="BX406">
        <v>8</v>
      </c>
      <c r="BY406">
        <v>1</v>
      </c>
      <c r="BZ406">
        <v>133</v>
      </c>
      <c r="CA406">
        <v>3</v>
      </c>
      <c r="CB406">
        <v>2</v>
      </c>
      <c r="CC406">
        <v>1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3</v>
      </c>
      <c r="CM406">
        <v>9</v>
      </c>
      <c r="CN406">
        <v>8</v>
      </c>
      <c r="CO406">
        <v>1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9</v>
      </c>
      <c r="CY406">
        <v>22</v>
      </c>
      <c r="CZ406">
        <v>11</v>
      </c>
      <c r="DA406">
        <v>4</v>
      </c>
      <c r="DB406">
        <v>0</v>
      </c>
      <c r="DC406">
        <v>0</v>
      </c>
      <c r="DD406">
        <v>1</v>
      </c>
      <c r="DE406">
        <v>1</v>
      </c>
      <c r="DF406">
        <v>0</v>
      </c>
      <c r="DG406">
        <v>1</v>
      </c>
      <c r="DH406">
        <v>2</v>
      </c>
      <c r="DI406">
        <v>2</v>
      </c>
      <c r="DJ406">
        <v>22</v>
      </c>
      <c r="DK406">
        <v>85</v>
      </c>
      <c r="DL406">
        <v>56</v>
      </c>
      <c r="DM406">
        <v>25</v>
      </c>
      <c r="DN406">
        <v>0</v>
      </c>
      <c r="DO406">
        <v>0</v>
      </c>
      <c r="DP406">
        <v>0</v>
      </c>
      <c r="DQ406">
        <v>1</v>
      </c>
      <c r="DR406">
        <v>1</v>
      </c>
      <c r="DS406">
        <v>0</v>
      </c>
      <c r="DT406">
        <v>0</v>
      </c>
      <c r="DU406">
        <v>2</v>
      </c>
      <c r="DV406">
        <v>85</v>
      </c>
      <c r="DW406">
        <v>10</v>
      </c>
      <c r="DX406">
        <v>1</v>
      </c>
      <c r="DY406">
        <v>1</v>
      </c>
      <c r="DZ406">
        <v>0</v>
      </c>
      <c r="EA406">
        <v>0</v>
      </c>
      <c r="EB406">
        <v>3</v>
      </c>
      <c r="EC406">
        <v>1</v>
      </c>
      <c r="ED406">
        <v>0</v>
      </c>
      <c r="EE406">
        <v>0</v>
      </c>
      <c r="EF406">
        <v>0</v>
      </c>
      <c r="EG406">
        <v>4</v>
      </c>
      <c r="EH406">
        <v>10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0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1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1</v>
      </c>
      <c r="FM406">
        <v>0</v>
      </c>
      <c r="FN406">
        <v>0</v>
      </c>
      <c r="FO406">
        <v>0</v>
      </c>
      <c r="FP406">
        <v>1</v>
      </c>
    </row>
    <row r="407" spans="1:172" ht="14.25">
      <c r="A407">
        <v>402</v>
      </c>
      <c r="B407" t="str">
        <f t="shared" si="72"/>
        <v>106201</v>
      </c>
      <c r="C407" t="str">
        <f t="shared" si="73"/>
        <v>m. Piotrków Trybunalski</v>
      </c>
      <c r="D407" t="str">
        <f t="shared" si="74"/>
        <v>Piotrków Trybunalski</v>
      </c>
      <c r="E407" t="str">
        <f t="shared" si="71"/>
        <v>łódzkie</v>
      </c>
      <c r="F407">
        <v>15</v>
      </c>
      <c r="G407" t="str">
        <f>"Lokal Wyborczy, ul. Jeziorna 41, 97-300 Piotrków Trybunalski"</f>
        <v>Lokal Wyborczy, ul. Jeziorna 41, 97-300 Piotrków Trybunalski</v>
      </c>
      <c r="H407">
        <v>1952</v>
      </c>
      <c r="I407">
        <v>1952</v>
      </c>
      <c r="J407">
        <v>0</v>
      </c>
      <c r="K407">
        <v>1362</v>
      </c>
      <c r="L407">
        <v>794</v>
      </c>
      <c r="M407">
        <v>568</v>
      </c>
      <c r="N407">
        <v>568</v>
      </c>
      <c r="O407">
        <v>0</v>
      </c>
      <c r="P407">
        <v>0</v>
      </c>
      <c r="Q407">
        <v>4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566</v>
      </c>
      <c r="Z407">
        <v>0</v>
      </c>
      <c r="AA407">
        <v>1</v>
      </c>
      <c r="AB407">
        <v>565</v>
      </c>
      <c r="AC407">
        <v>9</v>
      </c>
      <c r="AD407">
        <v>556</v>
      </c>
      <c r="AE407">
        <v>18</v>
      </c>
      <c r="AF407">
        <v>5</v>
      </c>
      <c r="AG407">
        <v>3</v>
      </c>
      <c r="AH407">
        <v>4</v>
      </c>
      <c r="AI407">
        <v>0</v>
      </c>
      <c r="AJ407">
        <v>0</v>
      </c>
      <c r="AK407">
        <v>1</v>
      </c>
      <c r="AL407">
        <v>0</v>
      </c>
      <c r="AM407">
        <v>0</v>
      </c>
      <c r="AN407">
        <v>0</v>
      </c>
      <c r="AO407">
        <v>5</v>
      </c>
      <c r="AP407">
        <v>18</v>
      </c>
      <c r="AQ407">
        <v>7</v>
      </c>
      <c r="AR407">
        <v>6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1</v>
      </c>
      <c r="BA407">
        <v>0</v>
      </c>
      <c r="BB407">
        <v>7</v>
      </c>
      <c r="BC407">
        <v>56</v>
      </c>
      <c r="BD407">
        <v>12</v>
      </c>
      <c r="BE407">
        <v>2</v>
      </c>
      <c r="BF407">
        <v>1</v>
      </c>
      <c r="BG407">
        <v>1</v>
      </c>
      <c r="BH407">
        <v>12</v>
      </c>
      <c r="BI407">
        <v>6</v>
      </c>
      <c r="BJ407">
        <v>1</v>
      </c>
      <c r="BK407">
        <v>0</v>
      </c>
      <c r="BL407">
        <v>0</v>
      </c>
      <c r="BM407">
        <v>21</v>
      </c>
      <c r="BN407">
        <v>56</v>
      </c>
      <c r="BO407">
        <v>216</v>
      </c>
      <c r="BP407">
        <v>173</v>
      </c>
      <c r="BQ407">
        <v>13</v>
      </c>
      <c r="BR407">
        <v>20</v>
      </c>
      <c r="BS407">
        <v>3</v>
      </c>
      <c r="BT407">
        <v>2</v>
      </c>
      <c r="BU407">
        <v>1</v>
      </c>
      <c r="BV407">
        <v>0</v>
      </c>
      <c r="BW407">
        <v>0</v>
      </c>
      <c r="BX407">
        <v>2</v>
      </c>
      <c r="BY407">
        <v>2</v>
      </c>
      <c r="BZ407">
        <v>216</v>
      </c>
      <c r="CA407">
        <v>12</v>
      </c>
      <c r="CB407">
        <v>7</v>
      </c>
      <c r="CC407">
        <v>3</v>
      </c>
      <c r="CD407">
        <v>1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1</v>
      </c>
      <c r="CL407">
        <v>12</v>
      </c>
      <c r="CM407">
        <v>17</v>
      </c>
      <c r="CN407">
        <v>8</v>
      </c>
      <c r="CO407">
        <v>1</v>
      </c>
      <c r="CP407">
        <v>1</v>
      </c>
      <c r="CQ407">
        <v>1</v>
      </c>
      <c r="CR407">
        <v>0</v>
      </c>
      <c r="CS407">
        <v>0</v>
      </c>
      <c r="CT407">
        <v>0</v>
      </c>
      <c r="CU407">
        <v>3</v>
      </c>
      <c r="CV407">
        <v>0</v>
      </c>
      <c r="CW407">
        <v>3</v>
      </c>
      <c r="CX407">
        <v>17</v>
      </c>
      <c r="CY407">
        <v>42</v>
      </c>
      <c r="CZ407">
        <v>26</v>
      </c>
      <c r="DA407">
        <v>3</v>
      </c>
      <c r="DB407">
        <v>0</v>
      </c>
      <c r="DC407">
        <v>1</v>
      </c>
      <c r="DD407">
        <v>0</v>
      </c>
      <c r="DE407">
        <v>3</v>
      </c>
      <c r="DF407">
        <v>2</v>
      </c>
      <c r="DG407">
        <v>2</v>
      </c>
      <c r="DH407">
        <v>3</v>
      </c>
      <c r="DI407">
        <v>2</v>
      </c>
      <c r="DJ407">
        <v>42</v>
      </c>
      <c r="DK407">
        <v>156</v>
      </c>
      <c r="DL407">
        <v>110</v>
      </c>
      <c r="DM407">
        <v>28</v>
      </c>
      <c r="DN407">
        <v>0</v>
      </c>
      <c r="DO407">
        <v>7</v>
      </c>
      <c r="DP407">
        <v>2</v>
      </c>
      <c r="DQ407">
        <v>0</v>
      </c>
      <c r="DR407">
        <v>6</v>
      </c>
      <c r="DS407">
        <v>1</v>
      </c>
      <c r="DT407">
        <v>1</v>
      </c>
      <c r="DU407">
        <v>1</v>
      </c>
      <c r="DV407">
        <v>156</v>
      </c>
      <c r="DW407">
        <v>25</v>
      </c>
      <c r="DX407">
        <v>2</v>
      </c>
      <c r="DY407">
        <v>4</v>
      </c>
      <c r="DZ407">
        <v>0</v>
      </c>
      <c r="EA407">
        <v>0</v>
      </c>
      <c r="EB407">
        <v>5</v>
      </c>
      <c r="EC407">
        <v>14</v>
      </c>
      <c r="ED407">
        <v>0</v>
      </c>
      <c r="EE407">
        <v>0</v>
      </c>
      <c r="EF407">
        <v>0</v>
      </c>
      <c r="EG407">
        <v>0</v>
      </c>
      <c r="EH407">
        <v>25</v>
      </c>
      <c r="EI407">
        <v>2</v>
      </c>
      <c r="EJ407">
        <v>0</v>
      </c>
      <c r="EK407">
        <v>2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2</v>
      </c>
      <c r="ES407">
        <v>1</v>
      </c>
      <c r="ET407">
        <v>1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1</v>
      </c>
      <c r="FE407">
        <v>4</v>
      </c>
      <c r="FF407">
        <v>1</v>
      </c>
      <c r="FG407">
        <v>1</v>
      </c>
      <c r="FH407">
        <v>1</v>
      </c>
      <c r="FI407">
        <v>0</v>
      </c>
      <c r="FJ407">
        <v>0</v>
      </c>
      <c r="FK407">
        <v>1</v>
      </c>
      <c r="FL407">
        <v>0</v>
      </c>
      <c r="FM407">
        <v>0</v>
      </c>
      <c r="FN407">
        <v>0</v>
      </c>
      <c r="FO407">
        <v>0</v>
      </c>
      <c r="FP407">
        <v>4</v>
      </c>
    </row>
    <row r="408" spans="1:172" ht="14.25">
      <c r="A408">
        <v>403</v>
      </c>
      <c r="B408" t="str">
        <f t="shared" si="72"/>
        <v>106201</v>
      </c>
      <c r="C408" t="str">
        <f t="shared" si="73"/>
        <v>m. Piotrków Trybunalski</v>
      </c>
      <c r="D408" t="str">
        <f t="shared" si="74"/>
        <v>Piotrków Trybunalski</v>
      </c>
      <c r="E408" t="str">
        <f t="shared" si="71"/>
        <v>łódzkie</v>
      </c>
      <c r="F408">
        <v>16</v>
      </c>
      <c r="G408" t="str">
        <f>"II Liceum Ogólnokształcące im. Marii Curie-Skłodowskiej, ul. Żeromskiego 11, 97-300 Piotrków Trybunalski"</f>
        <v>II Liceum Ogólnokształcące im. Marii Curie-Skłodowskiej, ul. Żeromskiego 11, 97-300 Piotrków Trybunalski</v>
      </c>
      <c r="H408">
        <v>1523</v>
      </c>
      <c r="I408">
        <v>1523</v>
      </c>
      <c r="J408">
        <v>0</v>
      </c>
      <c r="K408">
        <v>1080</v>
      </c>
      <c r="L408">
        <v>681</v>
      </c>
      <c r="M408">
        <v>399</v>
      </c>
      <c r="N408">
        <v>399</v>
      </c>
      <c r="O408">
        <v>0</v>
      </c>
      <c r="P408">
        <v>0</v>
      </c>
      <c r="Q408">
        <v>1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399</v>
      </c>
      <c r="Z408">
        <v>0</v>
      </c>
      <c r="AA408">
        <v>0</v>
      </c>
      <c r="AB408">
        <v>399</v>
      </c>
      <c r="AC408">
        <v>7</v>
      </c>
      <c r="AD408">
        <v>392</v>
      </c>
      <c r="AE408">
        <v>4</v>
      </c>
      <c r="AF408">
        <v>1</v>
      </c>
      <c r="AG408">
        <v>1</v>
      </c>
      <c r="AH408">
        <v>0</v>
      </c>
      <c r="AI408">
        <v>1</v>
      </c>
      <c r="AJ408">
        <v>0</v>
      </c>
      <c r="AK408">
        <v>1</v>
      </c>
      <c r="AL408">
        <v>0</v>
      </c>
      <c r="AM408">
        <v>0</v>
      </c>
      <c r="AN408">
        <v>0</v>
      </c>
      <c r="AO408">
        <v>0</v>
      </c>
      <c r="AP408">
        <v>4</v>
      </c>
      <c r="AQ408">
        <v>1</v>
      </c>
      <c r="AR408">
        <v>0</v>
      </c>
      <c r="AS408">
        <v>0</v>
      </c>
      <c r="AT408">
        <v>0</v>
      </c>
      <c r="AU408">
        <v>1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1</v>
      </c>
      <c r="BC408">
        <v>41</v>
      </c>
      <c r="BD408">
        <v>5</v>
      </c>
      <c r="BE408">
        <v>3</v>
      </c>
      <c r="BF408">
        <v>0</v>
      </c>
      <c r="BG408">
        <v>1</v>
      </c>
      <c r="BH408">
        <v>12</v>
      </c>
      <c r="BI408">
        <v>3</v>
      </c>
      <c r="BJ408">
        <v>1</v>
      </c>
      <c r="BK408">
        <v>0</v>
      </c>
      <c r="BL408">
        <v>2</v>
      </c>
      <c r="BM408">
        <v>14</v>
      </c>
      <c r="BN408">
        <v>41</v>
      </c>
      <c r="BO408">
        <v>163</v>
      </c>
      <c r="BP408">
        <v>124</v>
      </c>
      <c r="BQ408">
        <v>11</v>
      </c>
      <c r="BR408">
        <v>12</v>
      </c>
      <c r="BS408">
        <v>0</v>
      </c>
      <c r="BT408">
        <v>0</v>
      </c>
      <c r="BU408">
        <v>12</v>
      </c>
      <c r="BV408">
        <v>0</v>
      </c>
      <c r="BW408">
        <v>0</v>
      </c>
      <c r="BX408">
        <v>3</v>
      </c>
      <c r="BY408">
        <v>1</v>
      </c>
      <c r="BZ408">
        <v>163</v>
      </c>
      <c r="CA408">
        <v>3</v>
      </c>
      <c r="CB408">
        <v>0</v>
      </c>
      <c r="CC408">
        <v>0</v>
      </c>
      <c r="CD408">
        <v>0</v>
      </c>
      <c r="CE408">
        <v>2</v>
      </c>
      <c r="CF408">
        <v>0</v>
      </c>
      <c r="CG408">
        <v>0</v>
      </c>
      <c r="CH408">
        <v>0</v>
      </c>
      <c r="CI408">
        <v>0</v>
      </c>
      <c r="CJ408">
        <v>1</v>
      </c>
      <c r="CK408">
        <v>0</v>
      </c>
      <c r="CL408">
        <v>3</v>
      </c>
      <c r="CM408">
        <v>6</v>
      </c>
      <c r="CN408">
        <v>6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6</v>
      </c>
      <c r="CY408">
        <v>25</v>
      </c>
      <c r="CZ408">
        <v>16</v>
      </c>
      <c r="DA408">
        <v>2</v>
      </c>
      <c r="DB408">
        <v>0</v>
      </c>
      <c r="DC408">
        <v>3</v>
      </c>
      <c r="DD408">
        <v>0</v>
      </c>
      <c r="DE408">
        <v>1</v>
      </c>
      <c r="DF408">
        <v>1</v>
      </c>
      <c r="DG408">
        <v>0</v>
      </c>
      <c r="DH408">
        <v>0</v>
      </c>
      <c r="DI408">
        <v>2</v>
      </c>
      <c r="DJ408">
        <v>25</v>
      </c>
      <c r="DK408">
        <v>121</v>
      </c>
      <c r="DL408">
        <v>101</v>
      </c>
      <c r="DM408">
        <v>12</v>
      </c>
      <c r="DN408">
        <v>1</v>
      </c>
      <c r="DO408">
        <v>1</v>
      </c>
      <c r="DP408">
        <v>2</v>
      </c>
      <c r="DQ408">
        <v>2</v>
      </c>
      <c r="DR408">
        <v>1</v>
      </c>
      <c r="DS408">
        <v>1</v>
      </c>
      <c r="DT408">
        <v>0</v>
      </c>
      <c r="DU408">
        <v>0</v>
      </c>
      <c r="DV408">
        <v>121</v>
      </c>
      <c r="DW408">
        <v>23</v>
      </c>
      <c r="DX408">
        <v>8</v>
      </c>
      <c r="DY408">
        <v>0</v>
      </c>
      <c r="DZ408">
        <v>0</v>
      </c>
      <c r="EA408">
        <v>3</v>
      </c>
      <c r="EB408">
        <v>10</v>
      </c>
      <c r="EC408">
        <v>1</v>
      </c>
      <c r="ED408">
        <v>0</v>
      </c>
      <c r="EE408">
        <v>0</v>
      </c>
      <c r="EF408">
        <v>1</v>
      </c>
      <c r="EG408">
        <v>0</v>
      </c>
      <c r="EH408">
        <v>23</v>
      </c>
      <c r="EI408">
        <v>3</v>
      </c>
      <c r="EJ408">
        <v>1</v>
      </c>
      <c r="EK408">
        <v>2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3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2</v>
      </c>
      <c r="FF408">
        <v>0</v>
      </c>
      <c r="FG408">
        <v>1</v>
      </c>
      <c r="FH408">
        <v>0</v>
      </c>
      <c r="FI408">
        <v>1</v>
      </c>
      <c r="FJ408">
        <v>0</v>
      </c>
      <c r="FK408">
        <v>0</v>
      </c>
      <c r="FL408">
        <v>0</v>
      </c>
      <c r="FM408">
        <v>0</v>
      </c>
      <c r="FN408">
        <v>0</v>
      </c>
      <c r="FO408">
        <v>0</v>
      </c>
      <c r="FP408">
        <v>2</v>
      </c>
    </row>
    <row r="409" spans="1:172" ht="14.25">
      <c r="A409">
        <v>404</v>
      </c>
      <c r="B409" t="str">
        <f t="shared" si="72"/>
        <v>106201</v>
      </c>
      <c r="C409" t="str">
        <f t="shared" si="73"/>
        <v>m. Piotrków Trybunalski</v>
      </c>
      <c r="D409" t="str">
        <f t="shared" si="74"/>
        <v>Piotrków Trybunalski</v>
      </c>
      <c r="E409" t="str">
        <f t="shared" si="71"/>
        <v>łódzkie</v>
      </c>
      <c r="F409">
        <v>17</v>
      </c>
      <c r="G409" t="str">
        <f>"Zespół Szkół Ponadgimnazjalnych Nr 1, ul. Franklina Roosevelta 1, 97-300 Piotrków Trybunalski"</f>
        <v>Zespół Szkół Ponadgimnazjalnych Nr 1, ul. Franklina Roosevelta 1, 97-300 Piotrków Trybunalski</v>
      </c>
      <c r="H409">
        <v>1631</v>
      </c>
      <c r="I409">
        <v>1631</v>
      </c>
      <c r="J409">
        <v>0</v>
      </c>
      <c r="K409">
        <v>1141</v>
      </c>
      <c r="L409">
        <v>817</v>
      </c>
      <c r="M409">
        <v>324</v>
      </c>
      <c r="N409">
        <v>324</v>
      </c>
      <c r="O409">
        <v>0</v>
      </c>
      <c r="P409">
        <v>0</v>
      </c>
      <c r="Q409">
        <v>1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324</v>
      </c>
      <c r="Z409">
        <v>0</v>
      </c>
      <c r="AA409">
        <v>0</v>
      </c>
      <c r="AB409">
        <v>324</v>
      </c>
      <c r="AC409">
        <v>5</v>
      </c>
      <c r="AD409">
        <v>319</v>
      </c>
      <c r="AE409">
        <v>6</v>
      </c>
      <c r="AF409">
        <v>3</v>
      </c>
      <c r="AG409">
        <v>1</v>
      </c>
      <c r="AH409">
        <v>1</v>
      </c>
      <c r="AI409">
        <v>1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6</v>
      </c>
      <c r="AQ409">
        <v>5</v>
      </c>
      <c r="AR409">
        <v>4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1</v>
      </c>
      <c r="AY409">
        <v>0</v>
      </c>
      <c r="AZ409">
        <v>0</v>
      </c>
      <c r="BA409">
        <v>0</v>
      </c>
      <c r="BB409">
        <v>5</v>
      </c>
      <c r="BC409">
        <v>41</v>
      </c>
      <c r="BD409">
        <v>7</v>
      </c>
      <c r="BE409">
        <v>2</v>
      </c>
      <c r="BF409">
        <v>0</v>
      </c>
      <c r="BG409">
        <v>0</v>
      </c>
      <c r="BH409">
        <v>6</v>
      </c>
      <c r="BI409">
        <v>2</v>
      </c>
      <c r="BJ409">
        <v>0</v>
      </c>
      <c r="BK409">
        <v>0</v>
      </c>
      <c r="BL409">
        <v>0</v>
      </c>
      <c r="BM409">
        <v>24</v>
      </c>
      <c r="BN409">
        <v>41</v>
      </c>
      <c r="BO409">
        <v>130</v>
      </c>
      <c r="BP409">
        <v>108</v>
      </c>
      <c r="BQ409">
        <v>5</v>
      </c>
      <c r="BR409">
        <v>8</v>
      </c>
      <c r="BS409">
        <v>0</v>
      </c>
      <c r="BT409">
        <v>1</v>
      </c>
      <c r="BU409">
        <v>2</v>
      </c>
      <c r="BV409">
        <v>0</v>
      </c>
      <c r="BW409">
        <v>0</v>
      </c>
      <c r="BX409">
        <v>6</v>
      </c>
      <c r="BY409">
        <v>0</v>
      </c>
      <c r="BZ409">
        <v>130</v>
      </c>
      <c r="CA409">
        <v>9</v>
      </c>
      <c r="CB409">
        <v>3</v>
      </c>
      <c r="CC409">
        <v>5</v>
      </c>
      <c r="CD409">
        <v>1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9</v>
      </c>
      <c r="CM409">
        <v>5</v>
      </c>
      <c r="CN409">
        <v>4</v>
      </c>
      <c r="CO409">
        <v>1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5</v>
      </c>
      <c r="CY409">
        <v>24</v>
      </c>
      <c r="CZ409">
        <v>15</v>
      </c>
      <c r="DA409">
        <v>3</v>
      </c>
      <c r="DB409">
        <v>0</v>
      </c>
      <c r="DC409">
        <v>3</v>
      </c>
      <c r="DD409">
        <v>0</v>
      </c>
      <c r="DE409">
        <v>0</v>
      </c>
      <c r="DF409">
        <v>1</v>
      </c>
      <c r="DG409">
        <v>1</v>
      </c>
      <c r="DH409">
        <v>1</v>
      </c>
      <c r="DI409">
        <v>0</v>
      </c>
      <c r="DJ409">
        <v>24</v>
      </c>
      <c r="DK409">
        <v>84</v>
      </c>
      <c r="DL409">
        <v>64</v>
      </c>
      <c r="DM409">
        <v>16</v>
      </c>
      <c r="DN409">
        <v>0</v>
      </c>
      <c r="DO409">
        <v>3</v>
      </c>
      <c r="DP409">
        <v>0</v>
      </c>
      <c r="DQ409">
        <v>1</v>
      </c>
      <c r="DR409">
        <v>0</v>
      </c>
      <c r="DS409">
        <v>0</v>
      </c>
      <c r="DT409">
        <v>0</v>
      </c>
      <c r="DU409">
        <v>0</v>
      </c>
      <c r="DV409">
        <v>84</v>
      </c>
      <c r="DW409">
        <v>9</v>
      </c>
      <c r="DX409">
        <v>0</v>
      </c>
      <c r="DY409">
        <v>1</v>
      </c>
      <c r="DZ409">
        <v>0</v>
      </c>
      <c r="EA409">
        <v>0</v>
      </c>
      <c r="EB409">
        <v>3</v>
      </c>
      <c r="EC409">
        <v>1</v>
      </c>
      <c r="ED409">
        <v>0</v>
      </c>
      <c r="EE409">
        <v>1</v>
      </c>
      <c r="EF409">
        <v>3</v>
      </c>
      <c r="EG409">
        <v>0</v>
      </c>
      <c r="EH409">
        <v>9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2</v>
      </c>
      <c r="ET409">
        <v>1</v>
      </c>
      <c r="EU409">
        <v>1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2</v>
      </c>
      <c r="FE409">
        <v>4</v>
      </c>
      <c r="FF409">
        <v>2</v>
      </c>
      <c r="FG409">
        <v>1</v>
      </c>
      <c r="FH409">
        <v>0</v>
      </c>
      <c r="FI409">
        <v>0</v>
      </c>
      <c r="FJ409">
        <v>0</v>
      </c>
      <c r="FK409">
        <v>1</v>
      </c>
      <c r="FL409">
        <v>0</v>
      </c>
      <c r="FM409">
        <v>0</v>
      </c>
      <c r="FN409">
        <v>0</v>
      </c>
      <c r="FO409">
        <v>0</v>
      </c>
      <c r="FP409">
        <v>4</v>
      </c>
    </row>
    <row r="410" spans="1:172" ht="14.25">
      <c r="A410">
        <v>405</v>
      </c>
      <c r="B410" t="str">
        <f t="shared" si="72"/>
        <v>106201</v>
      </c>
      <c r="C410" t="str">
        <f t="shared" si="73"/>
        <v>m. Piotrków Trybunalski</v>
      </c>
      <c r="D410" t="str">
        <f t="shared" si="74"/>
        <v>Piotrków Trybunalski</v>
      </c>
      <c r="E410" t="str">
        <f t="shared" si="71"/>
        <v>łódzkie</v>
      </c>
      <c r="F410">
        <v>18</v>
      </c>
      <c r="G410" t="s">
        <v>39</v>
      </c>
      <c r="H410">
        <v>773</v>
      </c>
      <c r="I410">
        <v>773</v>
      </c>
      <c r="J410">
        <v>0</v>
      </c>
      <c r="K410">
        <v>530</v>
      </c>
      <c r="L410">
        <v>386</v>
      </c>
      <c r="M410">
        <v>144</v>
      </c>
      <c r="N410">
        <v>144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144</v>
      </c>
      <c r="Z410">
        <v>0</v>
      </c>
      <c r="AA410">
        <v>0</v>
      </c>
      <c r="AB410">
        <v>144</v>
      </c>
      <c r="AC410">
        <v>7</v>
      </c>
      <c r="AD410">
        <v>137</v>
      </c>
      <c r="AE410">
        <v>5</v>
      </c>
      <c r="AF410">
        <v>3</v>
      </c>
      <c r="AG410">
        <v>0</v>
      </c>
      <c r="AH410">
        <v>1</v>
      </c>
      <c r="AI410">
        <v>0</v>
      </c>
      <c r="AJ410">
        <v>1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5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17</v>
      </c>
      <c r="BD410">
        <v>0</v>
      </c>
      <c r="BE410">
        <v>0</v>
      </c>
      <c r="BF410">
        <v>1</v>
      </c>
      <c r="BG410">
        <v>0</v>
      </c>
      <c r="BH410">
        <v>6</v>
      </c>
      <c r="BI410">
        <v>0</v>
      </c>
      <c r="BJ410">
        <v>1</v>
      </c>
      <c r="BK410">
        <v>0</v>
      </c>
      <c r="BL410">
        <v>0</v>
      </c>
      <c r="BM410">
        <v>9</v>
      </c>
      <c r="BN410">
        <v>17</v>
      </c>
      <c r="BO410">
        <v>53</v>
      </c>
      <c r="BP410">
        <v>47</v>
      </c>
      <c r="BQ410">
        <v>0</v>
      </c>
      <c r="BR410">
        <v>1</v>
      </c>
      <c r="BS410">
        <v>1</v>
      </c>
      <c r="BT410">
        <v>0</v>
      </c>
      <c r="BU410">
        <v>0</v>
      </c>
      <c r="BV410">
        <v>0</v>
      </c>
      <c r="BW410">
        <v>1</v>
      </c>
      <c r="BX410">
        <v>2</v>
      </c>
      <c r="BY410">
        <v>1</v>
      </c>
      <c r="BZ410">
        <v>53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4</v>
      </c>
      <c r="CN410">
        <v>3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1</v>
      </c>
      <c r="CV410">
        <v>0</v>
      </c>
      <c r="CW410">
        <v>0</v>
      </c>
      <c r="CX410">
        <v>4</v>
      </c>
      <c r="CY410">
        <v>4</v>
      </c>
      <c r="CZ410">
        <v>2</v>
      </c>
      <c r="DA410">
        <v>0</v>
      </c>
      <c r="DB410">
        <v>0</v>
      </c>
      <c r="DC410">
        <v>1</v>
      </c>
      <c r="DD410">
        <v>1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4</v>
      </c>
      <c r="DK410">
        <v>48</v>
      </c>
      <c r="DL410">
        <v>39</v>
      </c>
      <c r="DM410">
        <v>5</v>
      </c>
      <c r="DN410">
        <v>0</v>
      </c>
      <c r="DO410">
        <v>0</v>
      </c>
      <c r="DP410">
        <v>1</v>
      </c>
      <c r="DQ410">
        <v>0</v>
      </c>
      <c r="DR410">
        <v>1</v>
      </c>
      <c r="DS410">
        <v>2</v>
      </c>
      <c r="DT410">
        <v>0</v>
      </c>
      <c r="DU410">
        <v>0</v>
      </c>
      <c r="DV410">
        <v>48</v>
      </c>
      <c r="DW410">
        <v>6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4</v>
      </c>
      <c r="ED410">
        <v>0</v>
      </c>
      <c r="EE410">
        <v>0</v>
      </c>
      <c r="EF410">
        <v>0</v>
      </c>
      <c r="EG410">
        <v>2</v>
      </c>
      <c r="EH410">
        <v>6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</row>
    <row r="411" spans="1:172" ht="14.25">
      <c r="A411">
        <v>406</v>
      </c>
      <c r="B411" t="str">
        <f t="shared" si="72"/>
        <v>106201</v>
      </c>
      <c r="C411" t="str">
        <f t="shared" si="73"/>
        <v>m. Piotrków Trybunalski</v>
      </c>
      <c r="D411" t="str">
        <f t="shared" si="74"/>
        <v>Piotrków Trybunalski</v>
      </c>
      <c r="E411" t="str">
        <f t="shared" si="71"/>
        <v>łódzkie</v>
      </c>
      <c r="F411">
        <v>19</v>
      </c>
      <c r="G411" t="str">
        <f>"Zespół Szkół Ponadgimnazjalnych Nr 2, ul. Romana Dmowskiego 38, 97-300 Piotrków Trybunalski"</f>
        <v>Zespół Szkół Ponadgimnazjalnych Nr 2, ul. Romana Dmowskiego 38, 97-300 Piotrków Trybunalski</v>
      </c>
      <c r="H411">
        <v>1713</v>
      </c>
      <c r="I411">
        <v>1713</v>
      </c>
      <c r="J411">
        <v>0</v>
      </c>
      <c r="K411">
        <v>1209</v>
      </c>
      <c r="L411">
        <v>773</v>
      </c>
      <c r="M411">
        <v>436</v>
      </c>
      <c r="N411">
        <v>436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435</v>
      </c>
      <c r="Z411">
        <v>0</v>
      </c>
      <c r="AA411">
        <v>0</v>
      </c>
      <c r="AB411">
        <v>435</v>
      </c>
      <c r="AC411">
        <v>11</v>
      </c>
      <c r="AD411">
        <v>424</v>
      </c>
      <c r="AE411">
        <v>1</v>
      </c>
      <c r="AF411">
        <v>1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1</v>
      </c>
      <c r="AQ411">
        <v>3</v>
      </c>
      <c r="AR411">
        <v>3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3</v>
      </c>
      <c r="BC411">
        <v>56</v>
      </c>
      <c r="BD411">
        <v>13</v>
      </c>
      <c r="BE411">
        <v>2</v>
      </c>
      <c r="BF411">
        <v>0</v>
      </c>
      <c r="BG411">
        <v>1</v>
      </c>
      <c r="BH411">
        <v>4</v>
      </c>
      <c r="BI411">
        <v>0</v>
      </c>
      <c r="BJ411">
        <v>1</v>
      </c>
      <c r="BK411">
        <v>0</v>
      </c>
      <c r="BL411">
        <v>1</v>
      </c>
      <c r="BM411">
        <v>34</v>
      </c>
      <c r="BN411">
        <v>56</v>
      </c>
      <c r="BO411">
        <v>173</v>
      </c>
      <c r="BP411">
        <v>149</v>
      </c>
      <c r="BQ411">
        <v>5</v>
      </c>
      <c r="BR411">
        <v>2</v>
      </c>
      <c r="BS411">
        <v>1</v>
      </c>
      <c r="BT411">
        <v>0</v>
      </c>
      <c r="BU411">
        <v>2</v>
      </c>
      <c r="BV411">
        <v>0</v>
      </c>
      <c r="BW411">
        <v>1</v>
      </c>
      <c r="BX411">
        <v>11</v>
      </c>
      <c r="BY411">
        <v>2</v>
      </c>
      <c r="BZ411">
        <v>173</v>
      </c>
      <c r="CA411">
        <v>7</v>
      </c>
      <c r="CB411">
        <v>3</v>
      </c>
      <c r="CC411">
        <v>2</v>
      </c>
      <c r="CD411">
        <v>1</v>
      </c>
      <c r="CE411">
        <v>0</v>
      </c>
      <c r="CF411">
        <v>0</v>
      </c>
      <c r="CG411">
        <v>0</v>
      </c>
      <c r="CH411">
        <v>0</v>
      </c>
      <c r="CI411">
        <v>1</v>
      </c>
      <c r="CJ411">
        <v>0</v>
      </c>
      <c r="CK411">
        <v>0</v>
      </c>
      <c r="CL411">
        <v>7</v>
      </c>
      <c r="CM411">
        <v>9</v>
      </c>
      <c r="CN411">
        <v>7</v>
      </c>
      <c r="CO411">
        <v>0</v>
      </c>
      <c r="CP411">
        <v>0</v>
      </c>
      <c r="CQ411">
        <v>1</v>
      </c>
      <c r="CR411">
        <v>0</v>
      </c>
      <c r="CS411">
        <v>0</v>
      </c>
      <c r="CT411">
        <v>0</v>
      </c>
      <c r="CU411">
        <v>1</v>
      </c>
      <c r="CV411">
        <v>0</v>
      </c>
      <c r="CW411">
        <v>0</v>
      </c>
      <c r="CX411">
        <v>9</v>
      </c>
      <c r="CY411">
        <v>23</v>
      </c>
      <c r="CZ411">
        <v>17</v>
      </c>
      <c r="DA411">
        <v>1</v>
      </c>
      <c r="DB411">
        <v>0</v>
      </c>
      <c r="DC411">
        <v>1</v>
      </c>
      <c r="DD411">
        <v>0</v>
      </c>
      <c r="DE411">
        <v>0</v>
      </c>
      <c r="DF411">
        <v>0</v>
      </c>
      <c r="DG411">
        <v>2</v>
      </c>
      <c r="DH411">
        <v>1</v>
      </c>
      <c r="DI411">
        <v>1</v>
      </c>
      <c r="DJ411">
        <v>23</v>
      </c>
      <c r="DK411">
        <v>129</v>
      </c>
      <c r="DL411">
        <v>93</v>
      </c>
      <c r="DM411">
        <v>15</v>
      </c>
      <c r="DN411">
        <v>4</v>
      </c>
      <c r="DO411">
        <v>2</v>
      </c>
      <c r="DP411">
        <v>3</v>
      </c>
      <c r="DQ411">
        <v>1</v>
      </c>
      <c r="DR411">
        <v>5</v>
      </c>
      <c r="DS411">
        <v>3</v>
      </c>
      <c r="DT411">
        <v>1</v>
      </c>
      <c r="DU411">
        <v>2</v>
      </c>
      <c r="DV411">
        <v>129</v>
      </c>
      <c r="DW411">
        <v>18</v>
      </c>
      <c r="DX411">
        <v>0</v>
      </c>
      <c r="DY411">
        <v>2</v>
      </c>
      <c r="DZ411">
        <v>0</v>
      </c>
      <c r="EA411">
        <v>2</v>
      </c>
      <c r="EB411">
        <v>13</v>
      </c>
      <c r="EC411">
        <v>0</v>
      </c>
      <c r="ED411">
        <v>0</v>
      </c>
      <c r="EE411">
        <v>1</v>
      </c>
      <c r="EF411">
        <v>0</v>
      </c>
      <c r="EG411">
        <v>0</v>
      </c>
      <c r="EH411">
        <v>18</v>
      </c>
      <c r="EI411">
        <v>2</v>
      </c>
      <c r="EJ411">
        <v>1</v>
      </c>
      <c r="EK411">
        <v>1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2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3</v>
      </c>
      <c r="FF411">
        <v>0</v>
      </c>
      <c r="FG411">
        <v>1</v>
      </c>
      <c r="FH411">
        <v>2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0</v>
      </c>
      <c r="FP411">
        <v>3</v>
      </c>
    </row>
    <row r="412" spans="1:172" ht="14.25">
      <c r="A412">
        <v>407</v>
      </c>
      <c r="B412" t="str">
        <f t="shared" si="72"/>
        <v>106201</v>
      </c>
      <c r="C412" t="str">
        <f t="shared" si="73"/>
        <v>m. Piotrków Trybunalski</v>
      </c>
      <c r="D412" t="str">
        <f t="shared" si="74"/>
        <v>Piotrków Trybunalski</v>
      </c>
      <c r="E412" t="str">
        <f t="shared" si="71"/>
        <v>łódzkie</v>
      </c>
      <c r="F412">
        <v>20</v>
      </c>
      <c r="G412" t="str">
        <f>"Przychodnia Nr 5, ul. Romana Dmowskiego 47, 97-300 Piotrków Trybunalski"</f>
        <v>Przychodnia Nr 5, ul. Romana Dmowskiego 47, 97-300 Piotrków Trybunalski</v>
      </c>
      <c r="H412">
        <v>1719</v>
      </c>
      <c r="I412">
        <v>1719</v>
      </c>
      <c r="J412">
        <v>0</v>
      </c>
      <c r="K412">
        <v>1200</v>
      </c>
      <c r="L412">
        <v>749</v>
      </c>
      <c r="M412">
        <v>451</v>
      </c>
      <c r="N412">
        <v>451</v>
      </c>
      <c r="O412">
        <v>0</v>
      </c>
      <c r="P412">
        <v>0</v>
      </c>
      <c r="Q412">
        <v>4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451</v>
      </c>
      <c r="Z412">
        <v>0</v>
      </c>
      <c r="AA412">
        <v>0</v>
      </c>
      <c r="AB412">
        <v>451</v>
      </c>
      <c r="AC412">
        <v>17</v>
      </c>
      <c r="AD412">
        <v>434</v>
      </c>
      <c r="AE412">
        <v>3</v>
      </c>
      <c r="AF412">
        <v>2</v>
      </c>
      <c r="AG412">
        <v>0</v>
      </c>
      <c r="AH412">
        <v>0</v>
      </c>
      <c r="AI412">
        <v>1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3</v>
      </c>
      <c r="AQ412">
        <v>4</v>
      </c>
      <c r="AR412">
        <v>3</v>
      </c>
      <c r="AS412">
        <v>0</v>
      </c>
      <c r="AT412">
        <v>0</v>
      </c>
      <c r="AU412">
        <v>1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4</v>
      </c>
      <c r="BC412">
        <v>58</v>
      </c>
      <c r="BD412">
        <v>13</v>
      </c>
      <c r="BE412">
        <v>4</v>
      </c>
      <c r="BF412">
        <v>1</v>
      </c>
      <c r="BG412">
        <v>4</v>
      </c>
      <c r="BH412">
        <v>10</v>
      </c>
      <c r="BI412">
        <v>2</v>
      </c>
      <c r="BJ412">
        <v>1</v>
      </c>
      <c r="BK412">
        <v>4</v>
      </c>
      <c r="BL412">
        <v>1</v>
      </c>
      <c r="BM412">
        <v>18</v>
      </c>
      <c r="BN412">
        <v>58</v>
      </c>
      <c r="BO412">
        <v>179</v>
      </c>
      <c r="BP412">
        <v>141</v>
      </c>
      <c r="BQ412">
        <v>1</v>
      </c>
      <c r="BR412">
        <v>4</v>
      </c>
      <c r="BS412">
        <v>3</v>
      </c>
      <c r="BT412">
        <v>0</v>
      </c>
      <c r="BU412">
        <v>1</v>
      </c>
      <c r="BV412">
        <v>0</v>
      </c>
      <c r="BW412">
        <v>0</v>
      </c>
      <c r="BX412">
        <v>28</v>
      </c>
      <c r="BY412">
        <v>1</v>
      </c>
      <c r="BZ412">
        <v>179</v>
      </c>
      <c r="CA412">
        <v>5</v>
      </c>
      <c r="CB412">
        <v>4</v>
      </c>
      <c r="CC412">
        <v>0</v>
      </c>
      <c r="CD412">
        <v>1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5</v>
      </c>
      <c r="CM412">
        <v>10</v>
      </c>
      <c r="CN412">
        <v>5</v>
      </c>
      <c r="CO412">
        <v>2</v>
      </c>
      <c r="CP412">
        <v>0</v>
      </c>
      <c r="CQ412">
        <v>1</v>
      </c>
      <c r="CR412">
        <v>0</v>
      </c>
      <c r="CS412">
        <v>0</v>
      </c>
      <c r="CT412">
        <v>0</v>
      </c>
      <c r="CU412">
        <v>2</v>
      </c>
      <c r="CV412">
        <v>0</v>
      </c>
      <c r="CW412">
        <v>0</v>
      </c>
      <c r="CX412">
        <v>10</v>
      </c>
      <c r="CY412">
        <v>24</v>
      </c>
      <c r="CZ412">
        <v>14</v>
      </c>
      <c r="DA412">
        <v>5</v>
      </c>
      <c r="DB412">
        <v>2</v>
      </c>
      <c r="DC412">
        <v>0</v>
      </c>
      <c r="DD412">
        <v>0</v>
      </c>
      <c r="DE412">
        <v>0</v>
      </c>
      <c r="DF412">
        <v>0</v>
      </c>
      <c r="DG412">
        <v>1</v>
      </c>
      <c r="DH412">
        <v>1</v>
      </c>
      <c r="DI412">
        <v>1</v>
      </c>
      <c r="DJ412">
        <v>24</v>
      </c>
      <c r="DK412">
        <v>132</v>
      </c>
      <c r="DL412">
        <v>97</v>
      </c>
      <c r="DM412">
        <v>17</v>
      </c>
      <c r="DN412">
        <v>1</v>
      </c>
      <c r="DO412">
        <v>2</v>
      </c>
      <c r="DP412">
        <v>4</v>
      </c>
      <c r="DQ412">
        <v>0</v>
      </c>
      <c r="DR412">
        <v>9</v>
      </c>
      <c r="DS412">
        <v>2</v>
      </c>
      <c r="DT412">
        <v>0</v>
      </c>
      <c r="DU412">
        <v>0</v>
      </c>
      <c r="DV412">
        <v>132</v>
      </c>
      <c r="DW412">
        <v>18</v>
      </c>
      <c r="DX412">
        <v>0</v>
      </c>
      <c r="DY412">
        <v>1</v>
      </c>
      <c r="DZ412">
        <v>0</v>
      </c>
      <c r="EA412">
        <v>1</v>
      </c>
      <c r="EB412">
        <v>12</v>
      </c>
      <c r="EC412">
        <v>2</v>
      </c>
      <c r="ED412">
        <v>0</v>
      </c>
      <c r="EE412">
        <v>1</v>
      </c>
      <c r="EF412">
        <v>0</v>
      </c>
      <c r="EG412">
        <v>1</v>
      </c>
      <c r="EH412">
        <v>18</v>
      </c>
      <c r="EI412">
        <v>1</v>
      </c>
      <c r="EJ412">
        <v>1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1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</row>
    <row r="413" spans="1:172" ht="14.25">
      <c r="A413">
        <v>408</v>
      </c>
      <c r="B413" t="str">
        <f t="shared" si="72"/>
        <v>106201</v>
      </c>
      <c r="C413" t="str">
        <f t="shared" si="73"/>
        <v>m. Piotrków Trybunalski</v>
      </c>
      <c r="D413" t="str">
        <f t="shared" si="74"/>
        <v>Piotrków Trybunalski</v>
      </c>
      <c r="E413" t="str">
        <f t="shared" si="71"/>
        <v>łódzkie</v>
      </c>
      <c r="F413">
        <v>21</v>
      </c>
      <c r="G413" t="str">
        <f>"Przedszkole Samorządowe Nr 7, ul. Poprzeczna 7A, 97-300 Piotrków Trybunalski"</f>
        <v>Przedszkole Samorządowe Nr 7, ul. Poprzeczna 7A, 97-300 Piotrków Trybunalski</v>
      </c>
      <c r="H413">
        <v>1987</v>
      </c>
      <c r="I413">
        <v>1987</v>
      </c>
      <c r="J413">
        <v>0</v>
      </c>
      <c r="K413">
        <v>1363</v>
      </c>
      <c r="L413">
        <v>788</v>
      </c>
      <c r="M413">
        <v>575</v>
      </c>
      <c r="N413">
        <v>575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575</v>
      </c>
      <c r="Z413">
        <v>0</v>
      </c>
      <c r="AA413">
        <v>0</v>
      </c>
      <c r="AB413">
        <v>575</v>
      </c>
      <c r="AC413">
        <v>17</v>
      </c>
      <c r="AD413">
        <v>558</v>
      </c>
      <c r="AE413">
        <v>8</v>
      </c>
      <c r="AF413">
        <v>5</v>
      </c>
      <c r="AG413">
        <v>0</v>
      </c>
      <c r="AH413">
        <v>1</v>
      </c>
      <c r="AI413">
        <v>0</v>
      </c>
      <c r="AJ413">
        <v>0</v>
      </c>
      <c r="AK413">
        <v>0</v>
      </c>
      <c r="AL413">
        <v>0</v>
      </c>
      <c r="AM413">
        <v>1</v>
      </c>
      <c r="AN413">
        <v>1</v>
      </c>
      <c r="AO413">
        <v>0</v>
      </c>
      <c r="AP413">
        <v>8</v>
      </c>
      <c r="AQ413">
        <v>3</v>
      </c>
      <c r="AR413">
        <v>2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1</v>
      </c>
      <c r="AY413">
        <v>0</v>
      </c>
      <c r="AZ413">
        <v>0</v>
      </c>
      <c r="BA413">
        <v>0</v>
      </c>
      <c r="BB413">
        <v>3</v>
      </c>
      <c r="BC413">
        <v>108</v>
      </c>
      <c r="BD413">
        <v>14</v>
      </c>
      <c r="BE413">
        <v>5</v>
      </c>
      <c r="BF413">
        <v>3</v>
      </c>
      <c r="BG413">
        <v>0</v>
      </c>
      <c r="BH413">
        <v>8</v>
      </c>
      <c r="BI413">
        <v>4</v>
      </c>
      <c r="BJ413">
        <v>2</v>
      </c>
      <c r="BK413">
        <v>0</v>
      </c>
      <c r="BL413">
        <v>1</v>
      </c>
      <c r="BM413">
        <v>71</v>
      </c>
      <c r="BN413">
        <v>108</v>
      </c>
      <c r="BO413">
        <v>202</v>
      </c>
      <c r="BP413">
        <v>166</v>
      </c>
      <c r="BQ413">
        <v>3</v>
      </c>
      <c r="BR413">
        <v>17</v>
      </c>
      <c r="BS413">
        <v>3</v>
      </c>
      <c r="BT413">
        <v>3</v>
      </c>
      <c r="BU413">
        <v>2</v>
      </c>
      <c r="BV413">
        <v>0</v>
      </c>
      <c r="BW413">
        <v>1</v>
      </c>
      <c r="BX413">
        <v>7</v>
      </c>
      <c r="BY413">
        <v>0</v>
      </c>
      <c r="BZ413">
        <v>202</v>
      </c>
      <c r="CA413">
        <v>5</v>
      </c>
      <c r="CB413">
        <v>3</v>
      </c>
      <c r="CC413">
        <v>1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1</v>
      </c>
      <c r="CK413">
        <v>0</v>
      </c>
      <c r="CL413">
        <v>5</v>
      </c>
      <c r="CM413">
        <v>8</v>
      </c>
      <c r="CN413">
        <v>5</v>
      </c>
      <c r="CO413">
        <v>2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1</v>
      </c>
      <c r="CV413">
        <v>0</v>
      </c>
      <c r="CW413">
        <v>0</v>
      </c>
      <c r="CX413">
        <v>8</v>
      </c>
      <c r="CY413">
        <v>32</v>
      </c>
      <c r="CZ413">
        <v>25</v>
      </c>
      <c r="DA413">
        <v>4</v>
      </c>
      <c r="DB413">
        <v>1</v>
      </c>
      <c r="DC413">
        <v>0</v>
      </c>
      <c r="DD413">
        <v>2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32</v>
      </c>
      <c r="DK413">
        <v>173</v>
      </c>
      <c r="DL413">
        <v>140</v>
      </c>
      <c r="DM413">
        <v>14</v>
      </c>
      <c r="DN413">
        <v>1</v>
      </c>
      <c r="DO413">
        <v>3</v>
      </c>
      <c r="DP413">
        <v>3</v>
      </c>
      <c r="DQ413">
        <v>2</v>
      </c>
      <c r="DR413">
        <v>8</v>
      </c>
      <c r="DS413">
        <v>0</v>
      </c>
      <c r="DT413">
        <v>1</v>
      </c>
      <c r="DU413">
        <v>1</v>
      </c>
      <c r="DV413">
        <v>173</v>
      </c>
      <c r="DW413">
        <v>11</v>
      </c>
      <c r="DX413">
        <v>1</v>
      </c>
      <c r="DY413">
        <v>1</v>
      </c>
      <c r="DZ413">
        <v>0</v>
      </c>
      <c r="EA413">
        <v>2</v>
      </c>
      <c r="EB413">
        <v>5</v>
      </c>
      <c r="EC413">
        <v>0</v>
      </c>
      <c r="ED413">
        <v>0</v>
      </c>
      <c r="EE413">
        <v>1</v>
      </c>
      <c r="EF413">
        <v>0</v>
      </c>
      <c r="EG413">
        <v>1</v>
      </c>
      <c r="EH413">
        <v>11</v>
      </c>
      <c r="EI413">
        <v>4</v>
      </c>
      <c r="EJ413">
        <v>1</v>
      </c>
      <c r="EK413">
        <v>3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4</v>
      </c>
      <c r="ES413">
        <v>1</v>
      </c>
      <c r="ET413">
        <v>1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1</v>
      </c>
      <c r="FE413">
        <v>3</v>
      </c>
      <c r="FF413">
        <v>3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0</v>
      </c>
      <c r="FO413">
        <v>0</v>
      </c>
      <c r="FP413">
        <v>3</v>
      </c>
    </row>
    <row r="414" spans="1:172" ht="14.25">
      <c r="A414">
        <v>409</v>
      </c>
      <c r="B414" t="str">
        <f t="shared" si="72"/>
        <v>106201</v>
      </c>
      <c r="C414" t="str">
        <f t="shared" si="73"/>
        <v>m. Piotrków Trybunalski</v>
      </c>
      <c r="D414" t="str">
        <f t="shared" si="74"/>
        <v>Piotrków Trybunalski</v>
      </c>
      <c r="E414" t="str">
        <f t="shared" si="71"/>
        <v>łódzkie</v>
      </c>
      <c r="F414">
        <v>22</v>
      </c>
      <c r="G414" t="str">
        <f>"Szkoła Podstawowa Nr 13, ul. Romana Dmowskiego 11, 97-300 Piotrków Trybunalski"</f>
        <v>Szkoła Podstawowa Nr 13, ul. Romana Dmowskiego 11, 97-300 Piotrków Trybunalski</v>
      </c>
      <c r="H414">
        <v>2038</v>
      </c>
      <c r="I414">
        <v>2038</v>
      </c>
      <c r="J414">
        <v>0</v>
      </c>
      <c r="K414">
        <v>1418</v>
      </c>
      <c r="L414">
        <v>915</v>
      </c>
      <c r="M414">
        <v>503</v>
      </c>
      <c r="N414">
        <v>503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503</v>
      </c>
      <c r="Z414">
        <v>0</v>
      </c>
      <c r="AA414">
        <v>0</v>
      </c>
      <c r="AB414">
        <v>503</v>
      </c>
      <c r="AC414">
        <v>8</v>
      </c>
      <c r="AD414">
        <v>495</v>
      </c>
      <c r="AE414">
        <v>7</v>
      </c>
      <c r="AF414">
        <v>0</v>
      </c>
      <c r="AG414">
        <v>0</v>
      </c>
      <c r="AH414">
        <v>1</v>
      </c>
      <c r="AI414">
        <v>0</v>
      </c>
      <c r="AJ414">
        <v>1</v>
      </c>
      <c r="AK414">
        <v>0</v>
      </c>
      <c r="AL414">
        <v>2</v>
      </c>
      <c r="AM414">
        <v>0</v>
      </c>
      <c r="AN414">
        <v>0</v>
      </c>
      <c r="AO414">
        <v>3</v>
      </c>
      <c r="AP414">
        <v>7</v>
      </c>
      <c r="AQ414">
        <v>2</v>
      </c>
      <c r="AR414">
        <v>1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1</v>
      </c>
      <c r="BB414">
        <v>2</v>
      </c>
      <c r="BC414">
        <v>105</v>
      </c>
      <c r="BD414">
        <v>20</v>
      </c>
      <c r="BE414">
        <v>6</v>
      </c>
      <c r="BF414">
        <v>1</v>
      </c>
      <c r="BG414">
        <v>2</v>
      </c>
      <c r="BH414">
        <v>11</v>
      </c>
      <c r="BI414">
        <v>5</v>
      </c>
      <c r="BJ414">
        <v>3</v>
      </c>
      <c r="BK414">
        <v>1</v>
      </c>
      <c r="BL414">
        <v>0</v>
      </c>
      <c r="BM414">
        <v>56</v>
      </c>
      <c r="BN414">
        <v>105</v>
      </c>
      <c r="BO414">
        <v>150</v>
      </c>
      <c r="BP414">
        <v>115</v>
      </c>
      <c r="BQ414">
        <v>12</v>
      </c>
      <c r="BR414">
        <v>2</v>
      </c>
      <c r="BS414">
        <v>3</v>
      </c>
      <c r="BT414">
        <v>1</v>
      </c>
      <c r="BU414">
        <v>3</v>
      </c>
      <c r="BV414">
        <v>0</v>
      </c>
      <c r="BW414">
        <v>1</v>
      </c>
      <c r="BX414">
        <v>11</v>
      </c>
      <c r="BY414">
        <v>2</v>
      </c>
      <c r="BZ414">
        <v>150</v>
      </c>
      <c r="CA414">
        <v>12</v>
      </c>
      <c r="CB414">
        <v>1</v>
      </c>
      <c r="CC414">
        <v>1</v>
      </c>
      <c r="CD414">
        <v>0</v>
      </c>
      <c r="CE414">
        <v>0</v>
      </c>
      <c r="CF414">
        <v>0</v>
      </c>
      <c r="CG414">
        <v>5</v>
      </c>
      <c r="CH414">
        <v>3</v>
      </c>
      <c r="CI414">
        <v>0</v>
      </c>
      <c r="CJ414">
        <v>1</v>
      </c>
      <c r="CK414">
        <v>1</v>
      </c>
      <c r="CL414">
        <v>12</v>
      </c>
      <c r="CM414">
        <v>10</v>
      </c>
      <c r="CN414">
        <v>6</v>
      </c>
      <c r="CO414">
        <v>0</v>
      </c>
      <c r="CP414">
        <v>0</v>
      </c>
      <c r="CQ414">
        <v>0</v>
      </c>
      <c r="CR414">
        <v>1</v>
      </c>
      <c r="CS414">
        <v>1</v>
      </c>
      <c r="CT414">
        <v>0</v>
      </c>
      <c r="CU414">
        <v>2</v>
      </c>
      <c r="CV414">
        <v>0</v>
      </c>
      <c r="CW414">
        <v>0</v>
      </c>
      <c r="CX414">
        <v>10</v>
      </c>
      <c r="CY414">
        <v>28</v>
      </c>
      <c r="CZ414">
        <v>17</v>
      </c>
      <c r="DA414">
        <v>0</v>
      </c>
      <c r="DB414">
        <v>1</v>
      </c>
      <c r="DC414">
        <v>1</v>
      </c>
      <c r="DD414">
        <v>0</v>
      </c>
      <c r="DE414">
        <v>0</v>
      </c>
      <c r="DF414">
        <v>5</v>
      </c>
      <c r="DG414">
        <v>0</v>
      </c>
      <c r="DH414">
        <v>3</v>
      </c>
      <c r="DI414">
        <v>1</v>
      </c>
      <c r="DJ414">
        <v>28</v>
      </c>
      <c r="DK414">
        <v>159</v>
      </c>
      <c r="DL414">
        <v>116</v>
      </c>
      <c r="DM414">
        <v>22</v>
      </c>
      <c r="DN414">
        <v>2</v>
      </c>
      <c r="DO414">
        <v>2</v>
      </c>
      <c r="DP414">
        <v>4</v>
      </c>
      <c r="DQ414">
        <v>0</v>
      </c>
      <c r="DR414">
        <v>6</v>
      </c>
      <c r="DS414">
        <v>2</v>
      </c>
      <c r="DT414">
        <v>2</v>
      </c>
      <c r="DU414">
        <v>3</v>
      </c>
      <c r="DV414">
        <v>159</v>
      </c>
      <c r="DW414">
        <v>15</v>
      </c>
      <c r="DX414">
        <v>3</v>
      </c>
      <c r="DY414">
        <v>2</v>
      </c>
      <c r="DZ414">
        <v>0</v>
      </c>
      <c r="EA414">
        <v>0</v>
      </c>
      <c r="EB414">
        <v>9</v>
      </c>
      <c r="EC414">
        <v>1</v>
      </c>
      <c r="ED414">
        <v>0</v>
      </c>
      <c r="EE414">
        <v>0</v>
      </c>
      <c r="EF414">
        <v>0</v>
      </c>
      <c r="EG414">
        <v>0</v>
      </c>
      <c r="EH414">
        <v>15</v>
      </c>
      <c r="EI414">
        <v>1</v>
      </c>
      <c r="EJ414">
        <v>0</v>
      </c>
      <c r="EK414">
        <v>1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1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6</v>
      </c>
      <c r="FF414">
        <v>3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1</v>
      </c>
      <c r="FO414">
        <v>2</v>
      </c>
      <c r="FP414">
        <v>6</v>
      </c>
    </row>
    <row r="415" spans="1:172" ht="14.25">
      <c r="A415">
        <v>410</v>
      </c>
      <c r="B415" t="str">
        <f t="shared" si="72"/>
        <v>106201</v>
      </c>
      <c r="C415" t="str">
        <f t="shared" si="73"/>
        <v>m. Piotrków Trybunalski</v>
      </c>
      <c r="D415" t="str">
        <f t="shared" si="74"/>
        <v>Piotrków Trybunalski</v>
      </c>
      <c r="E415" t="str">
        <f t="shared" si="71"/>
        <v>łódzkie</v>
      </c>
      <c r="F415">
        <v>23</v>
      </c>
      <c r="G415" t="str">
        <f>"Przedszkole Samorządowe Nr 15, ul. Belzacka 78A, 97-300 Piotrków Trybunalski"</f>
        <v>Przedszkole Samorządowe Nr 15, ul. Belzacka 78A, 97-300 Piotrków Trybunalski</v>
      </c>
      <c r="H415">
        <v>1524</v>
      </c>
      <c r="I415">
        <v>1524</v>
      </c>
      <c r="J415">
        <v>0</v>
      </c>
      <c r="K415">
        <v>1067</v>
      </c>
      <c r="L415">
        <v>641</v>
      </c>
      <c r="M415">
        <v>426</v>
      </c>
      <c r="N415">
        <v>426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426</v>
      </c>
      <c r="Z415">
        <v>0</v>
      </c>
      <c r="AA415">
        <v>2</v>
      </c>
      <c r="AB415">
        <v>424</v>
      </c>
      <c r="AC415">
        <v>7</v>
      </c>
      <c r="AD415">
        <v>417</v>
      </c>
      <c r="AE415">
        <v>8</v>
      </c>
      <c r="AF415">
        <v>3</v>
      </c>
      <c r="AG415">
        <v>0</v>
      </c>
      <c r="AH415">
        <v>1</v>
      </c>
      <c r="AI415">
        <v>0</v>
      </c>
      <c r="AJ415">
        <v>1</v>
      </c>
      <c r="AK415">
        <v>0</v>
      </c>
      <c r="AL415">
        <v>1</v>
      </c>
      <c r="AM415">
        <v>0</v>
      </c>
      <c r="AN415">
        <v>1</v>
      </c>
      <c r="AO415">
        <v>1</v>
      </c>
      <c r="AP415">
        <v>8</v>
      </c>
      <c r="AQ415">
        <v>1</v>
      </c>
      <c r="AR415">
        <v>0</v>
      </c>
      <c r="AS415">
        <v>1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1</v>
      </c>
      <c r="BC415">
        <v>60</v>
      </c>
      <c r="BD415">
        <v>19</v>
      </c>
      <c r="BE415">
        <v>6</v>
      </c>
      <c r="BF415">
        <v>3</v>
      </c>
      <c r="BG415">
        <v>1</v>
      </c>
      <c r="BH415">
        <v>4</v>
      </c>
      <c r="BI415">
        <v>1</v>
      </c>
      <c r="BJ415">
        <v>4</v>
      </c>
      <c r="BK415">
        <v>1</v>
      </c>
      <c r="BL415">
        <v>1</v>
      </c>
      <c r="BM415">
        <v>20</v>
      </c>
      <c r="BN415">
        <v>60</v>
      </c>
      <c r="BO415">
        <v>154</v>
      </c>
      <c r="BP415">
        <v>120</v>
      </c>
      <c r="BQ415">
        <v>5</v>
      </c>
      <c r="BR415">
        <v>15</v>
      </c>
      <c r="BS415">
        <v>2</v>
      </c>
      <c r="BT415">
        <v>1</v>
      </c>
      <c r="BU415">
        <v>5</v>
      </c>
      <c r="BV415">
        <v>1</v>
      </c>
      <c r="BW415">
        <v>2</v>
      </c>
      <c r="BX415">
        <v>2</v>
      </c>
      <c r="BY415">
        <v>1</v>
      </c>
      <c r="BZ415">
        <v>154</v>
      </c>
      <c r="CA415">
        <v>3</v>
      </c>
      <c r="CB415">
        <v>1</v>
      </c>
      <c r="CC415">
        <v>1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1</v>
      </c>
      <c r="CK415">
        <v>0</v>
      </c>
      <c r="CL415">
        <v>3</v>
      </c>
      <c r="CM415">
        <v>10</v>
      </c>
      <c r="CN415">
        <v>6</v>
      </c>
      <c r="CO415">
        <v>2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2</v>
      </c>
      <c r="CV415">
        <v>0</v>
      </c>
      <c r="CW415">
        <v>0</v>
      </c>
      <c r="CX415">
        <v>10</v>
      </c>
      <c r="CY415">
        <v>26</v>
      </c>
      <c r="CZ415">
        <v>17</v>
      </c>
      <c r="DA415">
        <v>9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26</v>
      </c>
      <c r="DK415">
        <v>140</v>
      </c>
      <c r="DL415">
        <v>108</v>
      </c>
      <c r="DM415">
        <v>18</v>
      </c>
      <c r="DN415">
        <v>1</v>
      </c>
      <c r="DO415">
        <v>2</v>
      </c>
      <c r="DP415">
        <v>1</v>
      </c>
      <c r="DQ415">
        <v>1</v>
      </c>
      <c r="DR415">
        <v>6</v>
      </c>
      <c r="DS415">
        <v>0</v>
      </c>
      <c r="DT415">
        <v>1</v>
      </c>
      <c r="DU415">
        <v>2</v>
      </c>
      <c r="DV415">
        <v>140</v>
      </c>
      <c r="DW415">
        <v>12</v>
      </c>
      <c r="DX415">
        <v>2</v>
      </c>
      <c r="DY415">
        <v>0</v>
      </c>
      <c r="DZ415">
        <v>0</v>
      </c>
      <c r="EA415">
        <v>0</v>
      </c>
      <c r="EB415">
        <v>7</v>
      </c>
      <c r="EC415">
        <v>1</v>
      </c>
      <c r="ED415">
        <v>0</v>
      </c>
      <c r="EE415">
        <v>0</v>
      </c>
      <c r="EF415">
        <v>1</v>
      </c>
      <c r="EG415">
        <v>1</v>
      </c>
      <c r="EH415">
        <v>12</v>
      </c>
      <c r="EI415">
        <v>1</v>
      </c>
      <c r="EJ415">
        <v>0</v>
      </c>
      <c r="EK415">
        <v>1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1</v>
      </c>
      <c r="ES415">
        <v>1</v>
      </c>
      <c r="ET415">
        <v>1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1</v>
      </c>
      <c r="FE415">
        <v>1</v>
      </c>
      <c r="FF415">
        <v>1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0</v>
      </c>
      <c r="FP415">
        <v>1</v>
      </c>
    </row>
    <row r="416" spans="1:172" ht="14.25">
      <c r="A416">
        <v>411</v>
      </c>
      <c r="B416" t="str">
        <f t="shared" si="72"/>
        <v>106201</v>
      </c>
      <c r="C416" t="str">
        <f t="shared" si="73"/>
        <v>m. Piotrków Trybunalski</v>
      </c>
      <c r="D416" t="str">
        <f t="shared" si="74"/>
        <v>Piotrków Trybunalski</v>
      </c>
      <c r="E416" t="str">
        <f t="shared" si="71"/>
        <v>łódzkie</v>
      </c>
      <c r="F416">
        <v>24</v>
      </c>
      <c r="G416" t="str">
        <f>"Przedszkole Samorządowe Nr 20, ul. Ignacego Paderewskiego 1A, 97-300 Piotrków Trybunalski"</f>
        <v>Przedszkole Samorządowe Nr 20, ul. Ignacego Paderewskiego 1A, 97-300 Piotrków Trybunalski</v>
      </c>
      <c r="H416">
        <v>2231</v>
      </c>
      <c r="I416">
        <v>2231</v>
      </c>
      <c r="J416">
        <v>0</v>
      </c>
      <c r="K416">
        <v>1568</v>
      </c>
      <c r="L416">
        <v>903</v>
      </c>
      <c r="M416">
        <v>665</v>
      </c>
      <c r="N416">
        <v>665</v>
      </c>
      <c r="O416">
        <v>0</v>
      </c>
      <c r="P416">
        <v>0</v>
      </c>
      <c r="Q416">
        <v>1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665</v>
      </c>
      <c r="Z416">
        <v>0</v>
      </c>
      <c r="AA416">
        <v>0</v>
      </c>
      <c r="AB416">
        <v>665</v>
      </c>
      <c r="AC416">
        <v>17</v>
      </c>
      <c r="AD416">
        <v>648</v>
      </c>
      <c r="AE416">
        <v>7</v>
      </c>
      <c r="AF416">
        <v>1</v>
      </c>
      <c r="AG416">
        <v>0</v>
      </c>
      <c r="AH416">
        <v>1</v>
      </c>
      <c r="AI416">
        <v>0</v>
      </c>
      <c r="AJ416">
        <v>0</v>
      </c>
      <c r="AK416">
        <v>0</v>
      </c>
      <c r="AL416">
        <v>0</v>
      </c>
      <c r="AM416">
        <v>1</v>
      </c>
      <c r="AN416">
        <v>1</v>
      </c>
      <c r="AO416">
        <v>3</v>
      </c>
      <c r="AP416">
        <v>7</v>
      </c>
      <c r="AQ416">
        <v>7</v>
      </c>
      <c r="AR416">
        <v>3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1</v>
      </c>
      <c r="AZ416">
        <v>1</v>
      </c>
      <c r="BA416">
        <v>2</v>
      </c>
      <c r="BB416">
        <v>7</v>
      </c>
      <c r="BC416">
        <v>86</v>
      </c>
      <c r="BD416">
        <v>14</v>
      </c>
      <c r="BE416">
        <v>1</v>
      </c>
      <c r="BF416">
        <v>0</v>
      </c>
      <c r="BG416">
        <v>4</v>
      </c>
      <c r="BH416">
        <v>15</v>
      </c>
      <c r="BI416">
        <v>2</v>
      </c>
      <c r="BJ416">
        <v>5</v>
      </c>
      <c r="BK416">
        <v>0</v>
      </c>
      <c r="BL416">
        <v>0</v>
      </c>
      <c r="BM416">
        <v>45</v>
      </c>
      <c r="BN416">
        <v>86</v>
      </c>
      <c r="BO416">
        <v>236</v>
      </c>
      <c r="BP416">
        <v>186</v>
      </c>
      <c r="BQ416">
        <v>8</v>
      </c>
      <c r="BR416">
        <v>19</v>
      </c>
      <c r="BS416">
        <v>0</v>
      </c>
      <c r="BT416">
        <v>0</v>
      </c>
      <c r="BU416">
        <v>5</v>
      </c>
      <c r="BV416">
        <v>1</v>
      </c>
      <c r="BW416">
        <v>0</v>
      </c>
      <c r="BX416">
        <v>15</v>
      </c>
      <c r="BY416">
        <v>2</v>
      </c>
      <c r="BZ416">
        <v>236</v>
      </c>
      <c r="CA416">
        <v>17</v>
      </c>
      <c r="CB416">
        <v>6</v>
      </c>
      <c r="CC416">
        <v>4</v>
      </c>
      <c r="CD416">
        <v>3</v>
      </c>
      <c r="CE416">
        <v>0</v>
      </c>
      <c r="CF416">
        <v>0</v>
      </c>
      <c r="CG416">
        <v>0</v>
      </c>
      <c r="CH416">
        <v>2</v>
      </c>
      <c r="CI416">
        <v>1</v>
      </c>
      <c r="CJ416">
        <v>0</v>
      </c>
      <c r="CK416">
        <v>1</v>
      </c>
      <c r="CL416">
        <v>17</v>
      </c>
      <c r="CM416">
        <v>13</v>
      </c>
      <c r="CN416">
        <v>7</v>
      </c>
      <c r="CO416">
        <v>2</v>
      </c>
      <c r="CP416">
        <v>1</v>
      </c>
      <c r="CQ416">
        <v>1</v>
      </c>
      <c r="CR416">
        <v>1</v>
      </c>
      <c r="CS416">
        <v>0</v>
      </c>
      <c r="CT416">
        <v>0</v>
      </c>
      <c r="CU416">
        <v>1</v>
      </c>
      <c r="CV416">
        <v>0</v>
      </c>
      <c r="CW416">
        <v>0</v>
      </c>
      <c r="CX416">
        <v>13</v>
      </c>
      <c r="CY416">
        <v>50</v>
      </c>
      <c r="CZ416">
        <v>33</v>
      </c>
      <c r="DA416">
        <v>4</v>
      </c>
      <c r="DB416">
        <v>0</v>
      </c>
      <c r="DC416">
        <v>1</v>
      </c>
      <c r="DD416">
        <v>2</v>
      </c>
      <c r="DE416">
        <v>3</v>
      </c>
      <c r="DF416">
        <v>1</v>
      </c>
      <c r="DG416">
        <v>1</v>
      </c>
      <c r="DH416">
        <v>2</v>
      </c>
      <c r="DI416">
        <v>3</v>
      </c>
      <c r="DJ416">
        <v>50</v>
      </c>
      <c r="DK416">
        <v>214</v>
      </c>
      <c r="DL416">
        <v>173</v>
      </c>
      <c r="DM416">
        <v>26</v>
      </c>
      <c r="DN416">
        <v>0</v>
      </c>
      <c r="DO416">
        <v>4</v>
      </c>
      <c r="DP416">
        <v>1</v>
      </c>
      <c r="DQ416">
        <v>0</v>
      </c>
      <c r="DR416">
        <v>8</v>
      </c>
      <c r="DS416">
        <v>1</v>
      </c>
      <c r="DT416">
        <v>0</v>
      </c>
      <c r="DU416">
        <v>1</v>
      </c>
      <c r="DV416">
        <v>214</v>
      </c>
      <c r="DW416">
        <v>14</v>
      </c>
      <c r="DX416">
        <v>3</v>
      </c>
      <c r="DY416">
        <v>0</v>
      </c>
      <c r="DZ416">
        <v>0</v>
      </c>
      <c r="EA416">
        <v>0</v>
      </c>
      <c r="EB416">
        <v>10</v>
      </c>
      <c r="EC416">
        <v>1</v>
      </c>
      <c r="ED416">
        <v>0</v>
      </c>
      <c r="EE416">
        <v>0</v>
      </c>
      <c r="EF416">
        <v>0</v>
      </c>
      <c r="EG416">
        <v>0</v>
      </c>
      <c r="EH416">
        <v>14</v>
      </c>
      <c r="EI416">
        <v>2</v>
      </c>
      <c r="EJ416">
        <v>1</v>
      </c>
      <c r="EK416">
        <v>1</v>
      </c>
      <c r="EL416">
        <v>0</v>
      </c>
      <c r="EM416">
        <v>0</v>
      </c>
      <c r="EN416">
        <v>0</v>
      </c>
      <c r="EO416">
        <v>0</v>
      </c>
      <c r="EP416">
        <v>0</v>
      </c>
      <c r="EQ416">
        <v>0</v>
      </c>
      <c r="ER416">
        <v>2</v>
      </c>
      <c r="ES416">
        <v>1</v>
      </c>
      <c r="ET416">
        <v>1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1</v>
      </c>
      <c r="FE416">
        <v>1</v>
      </c>
      <c r="FF416">
        <v>1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1</v>
      </c>
    </row>
    <row r="417" spans="1:172" ht="14.25">
      <c r="A417">
        <v>412</v>
      </c>
      <c r="B417" t="str">
        <f t="shared" si="72"/>
        <v>106201</v>
      </c>
      <c r="C417" t="str">
        <f t="shared" si="73"/>
        <v>m. Piotrków Trybunalski</v>
      </c>
      <c r="D417" t="str">
        <f t="shared" si="74"/>
        <v>Piotrków Trybunalski</v>
      </c>
      <c r="E417" t="str">
        <f t="shared" si="71"/>
        <v>łódzkie</v>
      </c>
      <c r="F417">
        <v>25</v>
      </c>
      <c r="G417" t="str">
        <f>"Przedszkole Samorządowe Nr 19, ul. Belzacka 97D, 97-300 Piotrków Trybunalski"</f>
        <v>Przedszkole Samorządowe Nr 19, ul. Belzacka 97D, 97-300 Piotrków Trybunalski</v>
      </c>
      <c r="H417">
        <v>1808</v>
      </c>
      <c r="I417">
        <v>1808</v>
      </c>
      <c r="J417">
        <v>0</v>
      </c>
      <c r="K417">
        <v>1280</v>
      </c>
      <c r="L417">
        <v>830</v>
      </c>
      <c r="M417">
        <v>450</v>
      </c>
      <c r="N417">
        <v>450</v>
      </c>
      <c r="O417">
        <v>0</v>
      </c>
      <c r="P417">
        <v>0</v>
      </c>
      <c r="Q417">
        <v>2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450</v>
      </c>
      <c r="Z417">
        <v>0</v>
      </c>
      <c r="AA417">
        <v>0</v>
      </c>
      <c r="AB417">
        <v>450</v>
      </c>
      <c r="AC417">
        <v>7</v>
      </c>
      <c r="AD417">
        <v>443</v>
      </c>
      <c r="AE417">
        <v>1</v>
      </c>
      <c r="AF417">
        <v>0</v>
      </c>
      <c r="AG417">
        <v>1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1</v>
      </c>
      <c r="AQ417">
        <v>5</v>
      </c>
      <c r="AR417">
        <v>4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1</v>
      </c>
      <c r="BB417">
        <v>5</v>
      </c>
      <c r="BC417">
        <v>50</v>
      </c>
      <c r="BD417">
        <v>9</v>
      </c>
      <c r="BE417">
        <v>1</v>
      </c>
      <c r="BF417">
        <v>0</v>
      </c>
      <c r="BG417">
        <v>2</v>
      </c>
      <c r="BH417">
        <v>8</v>
      </c>
      <c r="BI417">
        <v>2</v>
      </c>
      <c r="BJ417">
        <v>0</v>
      </c>
      <c r="BK417">
        <v>3</v>
      </c>
      <c r="BL417">
        <v>0</v>
      </c>
      <c r="BM417">
        <v>25</v>
      </c>
      <c r="BN417">
        <v>50</v>
      </c>
      <c r="BO417">
        <v>195</v>
      </c>
      <c r="BP417">
        <v>165</v>
      </c>
      <c r="BQ417">
        <v>13</v>
      </c>
      <c r="BR417">
        <v>4</v>
      </c>
      <c r="BS417">
        <v>0</v>
      </c>
      <c r="BT417">
        <v>0</v>
      </c>
      <c r="BU417">
        <v>4</v>
      </c>
      <c r="BV417">
        <v>0</v>
      </c>
      <c r="BW417">
        <v>0</v>
      </c>
      <c r="BX417">
        <v>9</v>
      </c>
      <c r="BY417">
        <v>0</v>
      </c>
      <c r="BZ417">
        <v>195</v>
      </c>
      <c r="CA417">
        <v>10</v>
      </c>
      <c r="CB417">
        <v>5</v>
      </c>
      <c r="CC417">
        <v>3</v>
      </c>
      <c r="CD417">
        <v>1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1</v>
      </c>
      <c r="CK417">
        <v>0</v>
      </c>
      <c r="CL417">
        <v>10</v>
      </c>
      <c r="CM417">
        <v>5</v>
      </c>
      <c r="CN417">
        <v>1</v>
      </c>
      <c r="CO417">
        <v>1</v>
      </c>
      <c r="CP417">
        <v>0</v>
      </c>
      <c r="CQ417">
        <v>0</v>
      </c>
      <c r="CR417">
        <v>0</v>
      </c>
      <c r="CS417">
        <v>1</v>
      </c>
      <c r="CT417">
        <v>0</v>
      </c>
      <c r="CU417">
        <v>2</v>
      </c>
      <c r="CV417">
        <v>0</v>
      </c>
      <c r="CW417">
        <v>0</v>
      </c>
      <c r="CX417">
        <v>5</v>
      </c>
      <c r="CY417">
        <v>20</v>
      </c>
      <c r="CZ417">
        <v>9</v>
      </c>
      <c r="DA417">
        <v>3</v>
      </c>
      <c r="DB417">
        <v>1</v>
      </c>
      <c r="DC417">
        <v>1</v>
      </c>
      <c r="DD417">
        <v>0</v>
      </c>
      <c r="DE417">
        <v>0</v>
      </c>
      <c r="DF417">
        <v>1</v>
      </c>
      <c r="DG417">
        <v>2</v>
      </c>
      <c r="DH417">
        <v>2</v>
      </c>
      <c r="DI417">
        <v>1</v>
      </c>
      <c r="DJ417">
        <v>20</v>
      </c>
      <c r="DK417">
        <v>133</v>
      </c>
      <c r="DL417">
        <v>104</v>
      </c>
      <c r="DM417">
        <v>18</v>
      </c>
      <c r="DN417">
        <v>1</v>
      </c>
      <c r="DO417">
        <v>1</v>
      </c>
      <c r="DP417">
        <v>1</v>
      </c>
      <c r="DQ417">
        <v>0</v>
      </c>
      <c r="DR417">
        <v>3</v>
      </c>
      <c r="DS417">
        <v>2</v>
      </c>
      <c r="DT417">
        <v>1</v>
      </c>
      <c r="DU417">
        <v>2</v>
      </c>
      <c r="DV417">
        <v>133</v>
      </c>
      <c r="DW417">
        <v>20</v>
      </c>
      <c r="DX417">
        <v>2</v>
      </c>
      <c r="DY417">
        <v>1</v>
      </c>
      <c r="DZ417">
        <v>0</v>
      </c>
      <c r="EA417">
        <v>0</v>
      </c>
      <c r="EB417">
        <v>12</v>
      </c>
      <c r="EC417">
        <v>1</v>
      </c>
      <c r="ED417">
        <v>1</v>
      </c>
      <c r="EE417">
        <v>2</v>
      </c>
      <c r="EF417">
        <v>0</v>
      </c>
      <c r="EG417">
        <v>1</v>
      </c>
      <c r="EH417">
        <v>20</v>
      </c>
      <c r="EI417">
        <v>1</v>
      </c>
      <c r="EJ417">
        <v>0</v>
      </c>
      <c r="EK417">
        <v>1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1</v>
      </c>
      <c r="ES417">
        <v>2</v>
      </c>
      <c r="ET417">
        <v>2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2</v>
      </c>
      <c r="FE417">
        <v>1</v>
      </c>
      <c r="FF417">
        <v>0</v>
      </c>
      <c r="FG417">
        <v>1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1</v>
      </c>
    </row>
    <row r="418" spans="1:172" ht="14.25">
      <c r="A418">
        <v>413</v>
      </c>
      <c r="B418" t="str">
        <f t="shared" si="72"/>
        <v>106201</v>
      </c>
      <c r="C418" t="str">
        <f t="shared" si="73"/>
        <v>m. Piotrków Trybunalski</v>
      </c>
      <c r="D418" t="str">
        <f t="shared" si="74"/>
        <v>Piotrków Trybunalski</v>
      </c>
      <c r="E418" t="str">
        <f t="shared" si="71"/>
        <v>łódzkie</v>
      </c>
      <c r="F418">
        <v>26</v>
      </c>
      <c r="G418" t="str">
        <f>"Szkoła Podstawowa Nr 12, ul. Belzacka 104/106, 97-300 Piotrków Trybunalski"</f>
        <v>Szkoła Podstawowa Nr 12, ul. Belzacka 104/106, 97-300 Piotrków Trybunalski</v>
      </c>
      <c r="H418">
        <v>2069</v>
      </c>
      <c r="I418">
        <v>2069</v>
      </c>
      <c r="J418">
        <v>0</v>
      </c>
      <c r="K418">
        <v>1466</v>
      </c>
      <c r="L418">
        <v>837</v>
      </c>
      <c r="M418">
        <v>629</v>
      </c>
      <c r="N418">
        <v>629</v>
      </c>
      <c r="O418">
        <v>0</v>
      </c>
      <c r="P418">
        <v>1</v>
      </c>
      <c r="Q418">
        <v>3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629</v>
      </c>
      <c r="Z418">
        <v>0</v>
      </c>
      <c r="AA418">
        <v>0</v>
      </c>
      <c r="AB418">
        <v>629</v>
      </c>
      <c r="AC418">
        <v>9</v>
      </c>
      <c r="AD418">
        <v>620</v>
      </c>
      <c r="AE418">
        <v>3</v>
      </c>
      <c r="AF418">
        <v>0</v>
      </c>
      <c r="AG418">
        <v>0</v>
      </c>
      <c r="AH418">
        <v>1</v>
      </c>
      <c r="AI418">
        <v>1</v>
      </c>
      <c r="AJ418">
        <v>0</v>
      </c>
      <c r="AK418">
        <v>0</v>
      </c>
      <c r="AL418">
        <v>0</v>
      </c>
      <c r="AM418">
        <v>1</v>
      </c>
      <c r="AN418">
        <v>0</v>
      </c>
      <c r="AO418">
        <v>0</v>
      </c>
      <c r="AP418">
        <v>3</v>
      </c>
      <c r="AQ418">
        <v>5</v>
      </c>
      <c r="AR418">
        <v>5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5</v>
      </c>
      <c r="BC418">
        <v>79</v>
      </c>
      <c r="BD418">
        <v>16</v>
      </c>
      <c r="BE418">
        <v>4</v>
      </c>
      <c r="BF418">
        <v>4</v>
      </c>
      <c r="BG418">
        <v>1</v>
      </c>
      <c r="BH418">
        <v>4</v>
      </c>
      <c r="BI418">
        <v>6</v>
      </c>
      <c r="BJ418">
        <v>3</v>
      </c>
      <c r="BK418">
        <v>0</v>
      </c>
      <c r="BL418">
        <v>3</v>
      </c>
      <c r="BM418">
        <v>38</v>
      </c>
      <c r="BN418">
        <v>79</v>
      </c>
      <c r="BO418">
        <v>228</v>
      </c>
      <c r="BP418">
        <v>180</v>
      </c>
      <c r="BQ418">
        <v>2</v>
      </c>
      <c r="BR418">
        <v>7</v>
      </c>
      <c r="BS418">
        <v>4</v>
      </c>
      <c r="BT418">
        <v>2</v>
      </c>
      <c r="BU418">
        <v>7</v>
      </c>
      <c r="BV418">
        <v>1</v>
      </c>
      <c r="BW418">
        <v>1</v>
      </c>
      <c r="BX418">
        <v>23</v>
      </c>
      <c r="BY418">
        <v>1</v>
      </c>
      <c r="BZ418">
        <v>228</v>
      </c>
      <c r="CA418">
        <v>9</v>
      </c>
      <c r="CB418">
        <v>1</v>
      </c>
      <c r="CC418">
        <v>5</v>
      </c>
      <c r="CD418">
        <v>1</v>
      </c>
      <c r="CE418">
        <v>0</v>
      </c>
      <c r="CF418">
        <v>0</v>
      </c>
      <c r="CG418">
        <v>0</v>
      </c>
      <c r="CH418">
        <v>1</v>
      </c>
      <c r="CI418">
        <v>0</v>
      </c>
      <c r="CJ418">
        <v>1</v>
      </c>
      <c r="CK418">
        <v>0</v>
      </c>
      <c r="CL418">
        <v>9</v>
      </c>
      <c r="CM418">
        <v>8</v>
      </c>
      <c r="CN418">
        <v>6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2</v>
      </c>
      <c r="CV418">
        <v>0</v>
      </c>
      <c r="CW418">
        <v>0</v>
      </c>
      <c r="CX418">
        <v>8</v>
      </c>
      <c r="CY418">
        <v>34</v>
      </c>
      <c r="CZ418">
        <v>21</v>
      </c>
      <c r="DA418">
        <v>3</v>
      </c>
      <c r="DB418">
        <v>1</v>
      </c>
      <c r="DC418">
        <v>1</v>
      </c>
      <c r="DD418">
        <v>0</v>
      </c>
      <c r="DE418">
        <v>2</v>
      </c>
      <c r="DF418">
        <v>2</v>
      </c>
      <c r="DG418">
        <v>0</v>
      </c>
      <c r="DH418">
        <v>2</v>
      </c>
      <c r="DI418">
        <v>2</v>
      </c>
      <c r="DJ418">
        <v>34</v>
      </c>
      <c r="DK418">
        <v>217</v>
      </c>
      <c r="DL418">
        <v>174</v>
      </c>
      <c r="DM418">
        <v>22</v>
      </c>
      <c r="DN418">
        <v>0</v>
      </c>
      <c r="DO418">
        <v>3</v>
      </c>
      <c r="DP418">
        <v>3</v>
      </c>
      <c r="DQ418">
        <v>2</v>
      </c>
      <c r="DR418">
        <v>7</v>
      </c>
      <c r="DS418">
        <v>2</v>
      </c>
      <c r="DT418">
        <v>0</v>
      </c>
      <c r="DU418">
        <v>4</v>
      </c>
      <c r="DV418">
        <v>217</v>
      </c>
      <c r="DW418">
        <v>29</v>
      </c>
      <c r="DX418">
        <v>1</v>
      </c>
      <c r="DY418">
        <v>1</v>
      </c>
      <c r="DZ418">
        <v>0</v>
      </c>
      <c r="EA418">
        <v>1</v>
      </c>
      <c r="EB418">
        <v>18</v>
      </c>
      <c r="EC418">
        <v>5</v>
      </c>
      <c r="ED418">
        <v>0</v>
      </c>
      <c r="EE418">
        <v>0</v>
      </c>
      <c r="EF418">
        <v>0</v>
      </c>
      <c r="EG418">
        <v>3</v>
      </c>
      <c r="EH418">
        <v>29</v>
      </c>
      <c r="EI418">
        <v>3</v>
      </c>
      <c r="EJ418">
        <v>1</v>
      </c>
      <c r="EK418">
        <v>2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3</v>
      </c>
      <c r="ES418">
        <v>2</v>
      </c>
      <c r="ET418">
        <v>0</v>
      </c>
      <c r="EU418">
        <v>0</v>
      </c>
      <c r="EV418">
        <v>2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2</v>
      </c>
      <c r="FE418">
        <v>3</v>
      </c>
      <c r="FF418">
        <v>0</v>
      </c>
      <c r="FG418">
        <v>1</v>
      </c>
      <c r="FH418">
        <v>1</v>
      </c>
      <c r="FI418">
        <v>0</v>
      </c>
      <c r="FJ418">
        <v>1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3</v>
      </c>
    </row>
    <row r="419" spans="1:172" ht="14.25">
      <c r="A419">
        <v>414</v>
      </c>
      <c r="B419" t="str">
        <f t="shared" si="72"/>
        <v>106201</v>
      </c>
      <c r="C419" t="str">
        <f t="shared" si="73"/>
        <v>m. Piotrków Trybunalski</v>
      </c>
      <c r="D419" t="str">
        <f t="shared" si="74"/>
        <v>Piotrków Trybunalski</v>
      </c>
      <c r="E419" t="str">
        <f t="shared" si="71"/>
        <v>łódzkie</v>
      </c>
      <c r="F419">
        <v>27</v>
      </c>
      <c r="G419" t="str">
        <f>"Uniwersytet Jana Kochanowskiego w Kielcach Filia w Piotrkowie Trybunalskim, ul. Juliusza Słowackiego 114/118, 97-300 Piotrków Trybunalski"</f>
        <v>Uniwersytet Jana Kochanowskiego w Kielcach Filia w Piotrkowie Trybunalskim, ul. Juliusza Słowackiego 114/118, 97-300 Piotrków Trybunalski</v>
      </c>
      <c r="H419">
        <v>1990</v>
      </c>
      <c r="I419">
        <v>1990</v>
      </c>
      <c r="J419">
        <v>0</v>
      </c>
      <c r="K419">
        <v>1410</v>
      </c>
      <c r="L419">
        <v>959</v>
      </c>
      <c r="M419">
        <v>451</v>
      </c>
      <c r="N419">
        <v>451</v>
      </c>
      <c r="O419">
        <v>0</v>
      </c>
      <c r="P419">
        <v>0</v>
      </c>
      <c r="Q419">
        <v>6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451</v>
      </c>
      <c r="Z419">
        <v>0</v>
      </c>
      <c r="AA419">
        <v>0</v>
      </c>
      <c r="AB419">
        <v>451</v>
      </c>
      <c r="AC419">
        <v>13</v>
      </c>
      <c r="AD419">
        <v>438</v>
      </c>
      <c r="AE419">
        <v>4</v>
      </c>
      <c r="AF419">
        <v>3</v>
      </c>
      <c r="AG419">
        <v>0</v>
      </c>
      <c r="AH419">
        <v>1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4</v>
      </c>
      <c r="AQ419">
        <v>6</v>
      </c>
      <c r="AR419">
        <v>4</v>
      </c>
      <c r="AS419">
        <v>0</v>
      </c>
      <c r="AT419">
        <v>1</v>
      </c>
      <c r="AU419">
        <v>0</v>
      </c>
      <c r="AV419">
        <v>0</v>
      </c>
      <c r="AW419">
        <v>1</v>
      </c>
      <c r="AX419">
        <v>0</v>
      </c>
      <c r="AY419">
        <v>0</v>
      </c>
      <c r="AZ419">
        <v>0</v>
      </c>
      <c r="BA419">
        <v>0</v>
      </c>
      <c r="BB419">
        <v>6</v>
      </c>
      <c r="BC419">
        <v>59</v>
      </c>
      <c r="BD419">
        <v>8</v>
      </c>
      <c r="BE419">
        <v>2</v>
      </c>
      <c r="BF419">
        <v>1</v>
      </c>
      <c r="BG419">
        <v>5</v>
      </c>
      <c r="BH419">
        <v>6</v>
      </c>
      <c r="BI419">
        <v>5</v>
      </c>
      <c r="BJ419">
        <v>1</v>
      </c>
      <c r="BK419">
        <v>0</v>
      </c>
      <c r="BL419">
        <v>0</v>
      </c>
      <c r="BM419">
        <v>31</v>
      </c>
      <c r="BN419">
        <v>59</v>
      </c>
      <c r="BO419">
        <v>170</v>
      </c>
      <c r="BP419">
        <v>143</v>
      </c>
      <c r="BQ419">
        <v>4</v>
      </c>
      <c r="BR419">
        <v>10</v>
      </c>
      <c r="BS419">
        <v>0</v>
      </c>
      <c r="BT419">
        <v>1</v>
      </c>
      <c r="BU419">
        <v>6</v>
      </c>
      <c r="BV419">
        <v>0</v>
      </c>
      <c r="BW419">
        <v>0</v>
      </c>
      <c r="BX419">
        <v>5</v>
      </c>
      <c r="BY419">
        <v>1</v>
      </c>
      <c r="BZ419">
        <v>170</v>
      </c>
      <c r="CA419">
        <v>5</v>
      </c>
      <c r="CB419">
        <v>0</v>
      </c>
      <c r="CC419">
        <v>3</v>
      </c>
      <c r="CD419">
        <v>2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5</v>
      </c>
      <c r="CM419">
        <v>15</v>
      </c>
      <c r="CN419">
        <v>11</v>
      </c>
      <c r="CO419">
        <v>2</v>
      </c>
      <c r="CP419">
        <v>0</v>
      </c>
      <c r="CQ419">
        <v>0</v>
      </c>
      <c r="CR419">
        <v>0</v>
      </c>
      <c r="CS419">
        <v>1</v>
      </c>
      <c r="CT419">
        <v>0</v>
      </c>
      <c r="CU419">
        <v>1</v>
      </c>
      <c r="CV419">
        <v>0</v>
      </c>
      <c r="CW419">
        <v>0</v>
      </c>
      <c r="CX419">
        <v>15</v>
      </c>
      <c r="CY419">
        <v>24</v>
      </c>
      <c r="CZ419">
        <v>15</v>
      </c>
      <c r="DA419">
        <v>4</v>
      </c>
      <c r="DB419">
        <v>0</v>
      </c>
      <c r="DC419">
        <v>1</v>
      </c>
      <c r="DD419">
        <v>0</v>
      </c>
      <c r="DE419">
        <v>1</v>
      </c>
      <c r="DF419">
        <v>0</v>
      </c>
      <c r="DG419">
        <v>0</v>
      </c>
      <c r="DH419">
        <v>0</v>
      </c>
      <c r="DI419">
        <v>3</v>
      </c>
      <c r="DJ419">
        <v>24</v>
      </c>
      <c r="DK419">
        <v>136</v>
      </c>
      <c r="DL419">
        <v>92</v>
      </c>
      <c r="DM419">
        <v>24</v>
      </c>
      <c r="DN419">
        <v>0</v>
      </c>
      <c r="DO419">
        <v>4</v>
      </c>
      <c r="DP419">
        <v>1</v>
      </c>
      <c r="DQ419">
        <v>2</v>
      </c>
      <c r="DR419">
        <v>6</v>
      </c>
      <c r="DS419">
        <v>2</v>
      </c>
      <c r="DT419">
        <v>0</v>
      </c>
      <c r="DU419">
        <v>5</v>
      </c>
      <c r="DV419">
        <v>136</v>
      </c>
      <c r="DW419">
        <v>16</v>
      </c>
      <c r="DX419">
        <v>4</v>
      </c>
      <c r="DY419">
        <v>3</v>
      </c>
      <c r="DZ419">
        <v>0</v>
      </c>
      <c r="EA419">
        <v>0</v>
      </c>
      <c r="EB419">
        <v>5</v>
      </c>
      <c r="EC419">
        <v>1</v>
      </c>
      <c r="ED419">
        <v>1</v>
      </c>
      <c r="EE419">
        <v>1</v>
      </c>
      <c r="EF419">
        <v>0</v>
      </c>
      <c r="EG419">
        <v>1</v>
      </c>
      <c r="EH419">
        <v>16</v>
      </c>
      <c r="EI419">
        <v>1</v>
      </c>
      <c r="EJ419">
        <v>0</v>
      </c>
      <c r="EK419">
        <v>1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1</v>
      </c>
      <c r="ES419">
        <v>1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1</v>
      </c>
      <c r="EZ419">
        <v>0</v>
      </c>
      <c r="FA419">
        <v>0</v>
      </c>
      <c r="FB419">
        <v>0</v>
      </c>
      <c r="FC419">
        <v>0</v>
      </c>
      <c r="FD419">
        <v>1</v>
      </c>
      <c r="FE419">
        <v>1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1</v>
      </c>
      <c r="FN419">
        <v>0</v>
      </c>
      <c r="FO419">
        <v>0</v>
      </c>
      <c r="FP419">
        <v>1</v>
      </c>
    </row>
    <row r="420" spans="1:172" ht="14.25">
      <c r="A420">
        <v>415</v>
      </c>
      <c r="B420" t="str">
        <f t="shared" si="72"/>
        <v>106201</v>
      </c>
      <c r="C420" t="str">
        <f t="shared" si="73"/>
        <v>m. Piotrków Trybunalski</v>
      </c>
      <c r="D420" t="str">
        <f t="shared" si="74"/>
        <v>Piotrków Trybunalski</v>
      </c>
      <c r="E420" t="str">
        <f t="shared" si="71"/>
        <v>łódzkie</v>
      </c>
      <c r="F420">
        <v>28</v>
      </c>
      <c r="G420" t="str">
        <f>"Szkoła Podstawowa Nr 2, ul. Jarosława Daniłowskiego 3, 97-300 Piotrków Trybunalski"</f>
        <v>Szkoła Podstawowa Nr 2, ul. Jarosława Daniłowskiego 3, 97-300 Piotrków Trybunalski</v>
      </c>
      <c r="H420">
        <v>2238</v>
      </c>
      <c r="I420">
        <v>2238</v>
      </c>
      <c r="J420">
        <v>0</v>
      </c>
      <c r="K420">
        <v>1580</v>
      </c>
      <c r="L420">
        <v>991</v>
      </c>
      <c r="M420">
        <v>589</v>
      </c>
      <c r="N420">
        <v>589</v>
      </c>
      <c r="O420">
        <v>0</v>
      </c>
      <c r="P420">
        <v>0</v>
      </c>
      <c r="Q420">
        <v>6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589</v>
      </c>
      <c r="Z420">
        <v>0</v>
      </c>
      <c r="AA420">
        <v>0</v>
      </c>
      <c r="AB420">
        <v>589</v>
      </c>
      <c r="AC420">
        <v>18</v>
      </c>
      <c r="AD420">
        <v>571</v>
      </c>
      <c r="AE420">
        <v>17</v>
      </c>
      <c r="AF420">
        <v>6</v>
      </c>
      <c r="AG420">
        <v>1</v>
      </c>
      <c r="AH420">
        <v>5</v>
      </c>
      <c r="AI420">
        <v>0</v>
      </c>
      <c r="AJ420">
        <v>0</v>
      </c>
      <c r="AK420">
        <v>0</v>
      </c>
      <c r="AL420">
        <v>1</v>
      </c>
      <c r="AM420">
        <v>0</v>
      </c>
      <c r="AN420">
        <v>1</v>
      </c>
      <c r="AO420">
        <v>3</v>
      </c>
      <c r="AP420">
        <v>17</v>
      </c>
      <c r="AQ420">
        <v>4</v>
      </c>
      <c r="AR420">
        <v>2</v>
      </c>
      <c r="AS420">
        <v>1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1</v>
      </c>
      <c r="BA420">
        <v>0</v>
      </c>
      <c r="BB420">
        <v>4</v>
      </c>
      <c r="BC420">
        <v>63</v>
      </c>
      <c r="BD420">
        <v>20</v>
      </c>
      <c r="BE420">
        <v>3</v>
      </c>
      <c r="BF420">
        <v>2</v>
      </c>
      <c r="BG420">
        <v>2</v>
      </c>
      <c r="BH420">
        <v>10</v>
      </c>
      <c r="BI420">
        <v>5</v>
      </c>
      <c r="BJ420">
        <v>2</v>
      </c>
      <c r="BK420">
        <v>1</v>
      </c>
      <c r="BL420">
        <v>0</v>
      </c>
      <c r="BM420">
        <v>18</v>
      </c>
      <c r="BN420">
        <v>63</v>
      </c>
      <c r="BO420">
        <v>253</v>
      </c>
      <c r="BP420">
        <v>204</v>
      </c>
      <c r="BQ420">
        <v>17</v>
      </c>
      <c r="BR420">
        <v>14</v>
      </c>
      <c r="BS420">
        <v>2</v>
      </c>
      <c r="BT420">
        <v>1</v>
      </c>
      <c r="BU420">
        <v>10</v>
      </c>
      <c r="BV420">
        <v>0</v>
      </c>
      <c r="BW420">
        <v>0</v>
      </c>
      <c r="BX420">
        <v>5</v>
      </c>
      <c r="BY420">
        <v>0</v>
      </c>
      <c r="BZ420">
        <v>253</v>
      </c>
      <c r="CA420">
        <v>9</v>
      </c>
      <c r="CB420">
        <v>6</v>
      </c>
      <c r="CC420">
        <v>1</v>
      </c>
      <c r="CD420">
        <v>0</v>
      </c>
      <c r="CE420">
        <v>0</v>
      </c>
      <c r="CF420">
        <v>1</v>
      </c>
      <c r="CG420">
        <v>0</v>
      </c>
      <c r="CH420">
        <v>1</v>
      </c>
      <c r="CI420">
        <v>0</v>
      </c>
      <c r="CJ420">
        <v>0</v>
      </c>
      <c r="CK420">
        <v>0</v>
      </c>
      <c r="CL420">
        <v>9</v>
      </c>
      <c r="CM420">
        <v>13</v>
      </c>
      <c r="CN420">
        <v>9</v>
      </c>
      <c r="CO420">
        <v>0</v>
      </c>
      <c r="CP420">
        <v>2</v>
      </c>
      <c r="CQ420">
        <v>0</v>
      </c>
      <c r="CR420">
        <v>0</v>
      </c>
      <c r="CS420">
        <v>0</v>
      </c>
      <c r="CT420">
        <v>0</v>
      </c>
      <c r="CU420">
        <v>2</v>
      </c>
      <c r="CV420">
        <v>0</v>
      </c>
      <c r="CW420">
        <v>0</v>
      </c>
      <c r="CX420">
        <v>13</v>
      </c>
      <c r="CY420">
        <v>34</v>
      </c>
      <c r="CZ420">
        <v>24</v>
      </c>
      <c r="DA420">
        <v>0</v>
      </c>
      <c r="DB420">
        <v>0</v>
      </c>
      <c r="DC420">
        <v>1</v>
      </c>
      <c r="DD420">
        <v>1</v>
      </c>
      <c r="DE420">
        <v>2</v>
      </c>
      <c r="DF420">
        <v>1</v>
      </c>
      <c r="DG420">
        <v>1</v>
      </c>
      <c r="DH420">
        <v>1</v>
      </c>
      <c r="DI420">
        <v>3</v>
      </c>
      <c r="DJ420">
        <v>34</v>
      </c>
      <c r="DK420">
        <v>156</v>
      </c>
      <c r="DL420">
        <v>106</v>
      </c>
      <c r="DM420">
        <v>33</v>
      </c>
      <c r="DN420">
        <v>5</v>
      </c>
      <c r="DO420">
        <v>1</v>
      </c>
      <c r="DP420">
        <v>1</v>
      </c>
      <c r="DQ420">
        <v>0</v>
      </c>
      <c r="DR420">
        <v>6</v>
      </c>
      <c r="DS420">
        <v>1</v>
      </c>
      <c r="DT420">
        <v>0</v>
      </c>
      <c r="DU420">
        <v>3</v>
      </c>
      <c r="DV420">
        <v>156</v>
      </c>
      <c r="DW420">
        <v>19</v>
      </c>
      <c r="DX420">
        <v>1</v>
      </c>
      <c r="DY420">
        <v>3</v>
      </c>
      <c r="DZ420">
        <v>0</v>
      </c>
      <c r="EA420">
        <v>1</v>
      </c>
      <c r="EB420">
        <v>12</v>
      </c>
      <c r="EC420">
        <v>2</v>
      </c>
      <c r="ED420">
        <v>0</v>
      </c>
      <c r="EE420">
        <v>0</v>
      </c>
      <c r="EF420">
        <v>0</v>
      </c>
      <c r="EG420">
        <v>0</v>
      </c>
      <c r="EH420">
        <v>19</v>
      </c>
      <c r="EI420">
        <v>1</v>
      </c>
      <c r="EJ420">
        <v>0</v>
      </c>
      <c r="EK420">
        <v>1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1</v>
      </c>
      <c r="ES420">
        <v>0</v>
      </c>
      <c r="ET420">
        <v>0</v>
      </c>
      <c r="EU420">
        <v>0</v>
      </c>
      <c r="EV420">
        <v>0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2</v>
      </c>
      <c r="FF420">
        <v>0</v>
      </c>
      <c r="FG420">
        <v>1</v>
      </c>
      <c r="FH420">
        <v>0</v>
      </c>
      <c r="FI420">
        <v>0</v>
      </c>
      <c r="FJ420">
        <v>1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2</v>
      </c>
    </row>
    <row r="421" spans="1:172" ht="14.25">
      <c r="A421">
        <v>416</v>
      </c>
      <c r="B421" t="str">
        <f t="shared" si="72"/>
        <v>106201</v>
      </c>
      <c r="C421" t="str">
        <f t="shared" si="73"/>
        <v>m. Piotrków Trybunalski</v>
      </c>
      <c r="D421" t="str">
        <f t="shared" si="74"/>
        <v>Piotrków Trybunalski</v>
      </c>
      <c r="E421" t="str">
        <f t="shared" si="71"/>
        <v>łódzkie</v>
      </c>
      <c r="F421">
        <v>29</v>
      </c>
      <c r="G421" t="str">
        <f>"III Liceum Ogólnokształcące im. Juliusza Słowackiego, Al. Armii Krajowej 17, 97-300 Piotrków Trybunalski"</f>
        <v>III Liceum Ogólnokształcące im. Juliusza Słowackiego, Al. Armii Krajowej 17, 97-300 Piotrków Trybunalski</v>
      </c>
      <c r="H421">
        <v>1753</v>
      </c>
      <c r="I421">
        <v>1753</v>
      </c>
      <c r="J421">
        <v>0</v>
      </c>
      <c r="K421">
        <v>1240</v>
      </c>
      <c r="L421">
        <v>845</v>
      </c>
      <c r="M421">
        <v>395</v>
      </c>
      <c r="N421">
        <v>395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395</v>
      </c>
      <c r="Z421">
        <v>0</v>
      </c>
      <c r="AA421">
        <v>0</v>
      </c>
      <c r="AB421">
        <v>395</v>
      </c>
      <c r="AC421">
        <v>12</v>
      </c>
      <c r="AD421">
        <v>383</v>
      </c>
      <c r="AE421">
        <v>8</v>
      </c>
      <c r="AF421">
        <v>4</v>
      </c>
      <c r="AG421">
        <v>0</v>
      </c>
      <c r="AH421">
        <v>2</v>
      </c>
      <c r="AI421">
        <v>0</v>
      </c>
      <c r="AJ421">
        <v>2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8</v>
      </c>
      <c r="AQ421">
        <v>3</v>
      </c>
      <c r="AR421">
        <v>3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3</v>
      </c>
      <c r="BC421">
        <v>52</v>
      </c>
      <c r="BD421">
        <v>13</v>
      </c>
      <c r="BE421">
        <v>4</v>
      </c>
      <c r="BF421">
        <v>0</v>
      </c>
      <c r="BG421">
        <v>0</v>
      </c>
      <c r="BH421">
        <v>5</v>
      </c>
      <c r="BI421">
        <v>2</v>
      </c>
      <c r="BJ421">
        <v>2</v>
      </c>
      <c r="BK421">
        <v>0</v>
      </c>
      <c r="BL421">
        <v>2</v>
      </c>
      <c r="BM421">
        <v>24</v>
      </c>
      <c r="BN421">
        <v>52</v>
      </c>
      <c r="BO421">
        <v>169</v>
      </c>
      <c r="BP421">
        <v>139</v>
      </c>
      <c r="BQ421">
        <v>9</v>
      </c>
      <c r="BR421">
        <v>8</v>
      </c>
      <c r="BS421">
        <v>1</v>
      </c>
      <c r="BT421">
        <v>0</v>
      </c>
      <c r="BU421">
        <v>4</v>
      </c>
      <c r="BV421">
        <v>0</v>
      </c>
      <c r="BW421">
        <v>0</v>
      </c>
      <c r="BX421">
        <v>7</v>
      </c>
      <c r="BY421">
        <v>1</v>
      </c>
      <c r="BZ421">
        <v>169</v>
      </c>
      <c r="CA421">
        <v>7</v>
      </c>
      <c r="CB421">
        <v>4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1</v>
      </c>
      <c r="CJ421">
        <v>2</v>
      </c>
      <c r="CK421">
        <v>0</v>
      </c>
      <c r="CL421">
        <v>7</v>
      </c>
      <c r="CM421">
        <v>5</v>
      </c>
      <c r="CN421">
        <v>3</v>
      </c>
      <c r="CO421">
        <v>0</v>
      </c>
      <c r="CP421">
        <v>0</v>
      </c>
      <c r="CQ421">
        <v>1</v>
      </c>
      <c r="CR421">
        <v>1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5</v>
      </c>
      <c r="CY421">
        <v>19</v>
      </c>
      <c r="CZ421">
        <v>11</v>
      </c>
      <c r="DA421">
        <v>2</v>
      </c>
      <c r="DB421">
        <v>0</v>
      </c>
      <c r="DC421">
        <v>1</v>
      </c>
      <c r="DD421">
        <v>0</v>
      </c>
      <c r="DE421">
        <v>2</v>
      </c>
      <c r="DF421">
        <v>1</v>
      </c>
      <c r="DG421">
        <v>0</v>
      </c>
      <c r="DH421">
        <v>0</v>
      </c>
      <c r="DI421">
        <v>2</v>
      </c>
      <c r="DJ421">
        <v>19</v>
      </c>
      <c r="DK421">
        <v>103</v>
      </c>
      <c r="DL421">
        <v>80</v>
      </c>
      <c r="DM421">
        <v>16</v>
      </c>
      <c r="DN421">
        <v>1</v>
      </c>
      <c r="DO421">
        <v>1</v>
      </c>
      <c r="DP421">
        <v>0</v>
      </c>
      <c r="DQ421">
        <v>1</v>
      </c>
      <c r="DR421">
        <v>2</v>
      </c>
      <c r="DS421">
        <v>0</v>
      </c>
      <c r="DT421">
        <v>2</v>
      </c>
      <c r="DU421">
        <v>0</v>
      </c>
      <c r="DV421">
        <v>103</v>
      </c>
      <c r="DW421">
        <v>14</v>
      </c>
      <c r="DX421">
        <v>1</v>
      </c>
      <c r="DY421">
        <v>0</v>
      </c>
      <c r="DZ421">
        <v>0</v>
      </c>
      <c r="EA421">
        <v>2</v>
      </c>
      <c r="EB421">
        <v>8</v>
      </c>
      <c r="EC421">
        <v>1</v>
      </c>
      <c r="ED421">
        <v>0</v>
      </c>
      <c r="EE421">
        <v>0</v>
      </c>
      <c r="EF421">
        <v>1</v>
      </c>
      <c r="EG421">
        <v>1</v>
      </c>
      <c r="EH421">
        <v>14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3</v>
      </c>
      <c r="FF421">
        <v>1</v>
      </c>
      <c r="FG421">
        <v>2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3</v>
      </c>
    </row>
    <row r="422" spans="1:172" ht="14.25">
      <c r="A422">
        <v>417</v>
      </c>
      <c r="B422" t="str">
        <f t="shared" si="72"/>
        <v>106201</v>
      </c>
      <c r="C422" t="str">
        <f t="shared" si="73"/>
        <v>m. Piotrków Trybunalski</v>
      </c>
      <c r="D422" t="str">
        <f t="shared" si="74"/>
        <v>Piotrków Trybunalski</v>
      </c>
      <c r="E422" t="str">
        <f t="shared" si="71"/>
        <v>łódzkie</v>
      </c>
      <c r="F422">
        <v>30</v>
      </c>
      <c r="G422" t="str">
        <f>"Miejski Żłobek Dzienny, ul. Belzacka 97E, 97-300 Piotrków Trybunalski"</f>
        <v>Miejski Żłobek Dzienny, ul. Belzacka 97E, 97-300 Piotrków Trybunalski</v>
      </c>
      <c r="H422">
        <v>2159</v>
      </c>
      <c r="I422">
        <v>2159</v>
      </c>
      <c r="J422">
        <v>0</v>
      </c>
      <c r="K422">
        <v>1529</v>
      </c>
      <c r="L422">
        <v>1028</v>
      </c>
      <c r="M422">
        <v>501</v>
      </c>
      <c r="N422">
        <v>501</v>
      </c>
      <c r="O422">
        <v>0</v>
      </c>
      <c r="P422">
        <v>0</v>
      </c>
      <c r="Q422">
        <v>1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501</v>
      </c>
      <c r="Z422">
        <v>0</v>
      </c>
      <c r="AA422">
        <v>0</v>
      </c>
      <c r="AB422">
        <v>501</v>
      </c>
      <c r="AC422">
        <v>10</v>
      </c>
      <c r="AD422">
        <v>491</v>
      </c>
      <c r="AE422">
        <v>6</v>
      </c>
      <c r="AF422">
        <v>2</v>
      </c>
      <c r="AG422">
        <v>0</v>
      </c>
      <c r="AH422">
        <v>1</v>
      </c>
      <c r="AI422">
        <v>1</v>
      </c>
      <c r="AJ422">
        <v>1</v>
      </c>
      <c r="AK422">
        <v>0</v>
      </c>
      <c r="AL422">
        <v>0</v>
      </c>
      <c r="AM422">
        <v>1</v>
      </c>
      <c r="AN422">
        <v>0</v>
      </c>
      <c r="AO422">
        <v>0</v>
      </c>
      <c r="AP422">
        <v>6</v>
      </c>
      <c r="AQ422">
        <v>1</v>
      </c>
      <c r="AR422">
        <v>1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1</v>
      </c>
      <c r="BC422">
        <v>66</v>
      </c>
      <c r="BD422">
        <v>11</v>
      </c>
      <c r="BE422">
        <v>4</v>
      </c>
      <c r="BF422">
        <v>0</v>
      </c>
      <c r="BG422">
        <v>0</v>
      </c>
      <c r="BH422">
        <v>11</v>
      </c>
      <c r="BI422">
        <v>2</v>
      </c>
      <c r="BJ422">
        <v>1</v>
      </c>
      <c r="BK422">
        <v>0</v>
      </c>
      <c r="BL422">
        <v>0</v>
      </c>
      <c r="BM422">
        <v>37</v>
      </c>
      <c r="BN422">
        <v>66</v>
      </c>
      <c r="BO422">
        <v>175</v>
      </c>
      <c r="BP422">
        <v>132</v>
      </c>
      <c r="BQ422">
        <v>4</v>
      </c>
      <c r="BR422">
        <v>17</v>
      </c>
      <c r="BS422">
        <v>1</v>
      </c>
      <c r="BT422">
        <v>0</v>
      </c>
      <c r="BU422">
        <v>5</v>
      </c>
      <c r="BV422">
        <v>1</v>
      </c>
      <c r="BW422">
        <v>1</v>
      </c>
      <c r="BX422">
        <v>13</v>
      </c>
      <c r="BY422">
        <v>1</v>
      </c>
      <c r="BZ422">
        <v>175</v>
      </c>
      <c r="CA422">
        <v>9</v>
      </c>
      <c r="CB422">
        <v>5</v>
      </c>
      <c r="CC422">
        <v>2</v>
      </c>
      <c r="CD422">
        <v>1</v>
      </c>
      <c r="CE422">
        <v>0</v>
      </c>
      <c r="CF422">
        <v>0</v>
      </c>
      <c r="CG422">
        <v>1</v>
      </c>
      <c r="CH422">
        <v>0</v>
      </c>
      <c r="CI422">
        <v>0</v>
      </c>
      <c r="CJ422">
        <v>0</v>
      </c>
      <c r="CK422">
        <v>0</v>
      </c>
      <c r="CL422">
        <v>9</v>
      </c>
      <c r="CM422">
        <v>15</v>
      </c>
      <c r="CN422">
        <v>9</v>
      </c>
      <c r="CO422">
        <v>0</v>
      </c>
      <c r="CP422">
        <v>1</v>
      </c>
      <c r="CQ422">
        <v>0</v>
      </c>
      <c r="CR422">
        <v>0</v>
      </c>
      <c r="CS422">
        <v>0</v>
      </c>
      <c r="CT422">
        <v>2</v>
      </c>
      <c r="CU422">
        <v>3</v>
      </c>
      <c r="CV422">
        <v>0</v>
      </c>
      <c r="CW422">
        <v>0</v>
      </c>
      <c r="CX422">
        <v>15</v>
      </c>
      <c r="CY422">
        <v>27</v>
      </c>
      <c r="CZ422">
        <v>20</v>
      </c>
      <c r="DA422">
        <v>3</v>
      </c>
      <c r="DB422">
        <v>1</v>
      </c>
      <c r="DC422">
        <v>0</v>
      </c>
      <c r="DD422">
        <v>0</v>
      </c>
      <c r="DE422">
        <v>0</v>
      </c>
      <c r="DF422">
        <v>2</v>
      </c>
      <c r="DG422">
        <v>0</v>
      </c>
      <c r="DH422">
        <v>1</v>
      </c>
      <c r="DI422">
        <v>0</v>
      </c>
      <c r="DJ422">
        <v>27</v>
      </c>
      <c r="DK422">
        <v>171</v>
      </c>
      <c r="DL422">
        <v>131</v>
      </c>
      <c r="DM422">
        <v>16</v>
      </c>
      <c r="DN422">
        <v>0</v>
      </c>
      <c r="DO422">
        <v>2</v>
      </c>
      <c r="DP422">
        <v>1</v>
      </c>
      <c r="DQ422">
        <v>7</v>
      </c>
      <c r="DR422">
        <v>8</v>
      </c>
      <c r="DS422">
        <v>1</v>
      </c>
      <c r="DT422">
        <v>1</v>
      </c>
      <c r="DU422">
        <v>4</v>
      </c>
      <c r="DV422">
        <v>171</v>
      </c>
      <c r="DW422">
        <v>13</v>
      </c>
      <c r="DX422">
        <v>1</v>
      </c>
      <c r="DY422">
        <v>0</v>
      </c>
      <c r="DZ422">
        <v>0</v>
      </c>
      <c r="EA422">
        <v>0</v>
      </c>
      <c r="EB422">
        <v>12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13</v>
      </c>
      <c r="EI422">
        <v>1</v>
      </c>
      <c r="EJ422">
        <v>0</v>
      </c>
      <c r="EK422">
        <v>1</v>
      </c>
      <c r="EL422">
        <v>0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1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7</v>
      </c>
      <c r="FF422">
        <v>4</v>
      </c>
      <c r="FG422">
        <v>1</v>
      </c>
      <c r="FH422">
        <v>1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0</v>
      </c>
      <c r="FO422">
        <v>1</v>
      </c>
      <c r="FP422">
        <v>7</v>
      </c>
    </row>
    <row r="423" spans="1:172" ht="14.25">
      <c r="A423">
        <v>418</v>
      </c>
      <c r="B423" t="str">
        <f t="shared" si="72"/>
        <v>106201</v>
      </c>
      <c r="C423" t="str">
        <f t="shared" si="73"/>
        <v>m. Piotrków Trybunalski</v>
      </c>
      <c r="D423" t="str">
        <f t="shared" si="74"/>
        <v>Piotrków Trybunalski</v>
      </c>
      <c r="E423" t="str">
        <f t="shared" si="71"/>
        <v>łódzkie</v>
      </c>
      <c r="F423">
        <v>31</v>
      </c>
      <c r="G423" t="str">
        <f>"Gimnazjum Nr 5, ul. Kostromska 50, 97-300 Piotrków Trybunalski"</f>
        <v>Gimnazjum Nr 5, ul. Kostromska 50, 97-300 Piotrków Trybunalski</v>
      </c>
      <c r="H423">
        <v>1459</v>
      </c>
      <c r="I423">
        <v>1459</v>
      </c>
      <c r="J423">
        <v>0</v>
      </c>
      <c r="K423">
        <v>1014</v>
      </c>
      <c r="L423">
        <v>631</v>
      </c>
      <c r="M423">
        <v>383</v>
      </c>
      <c r="N423">
        <v>383</v>
      </c>
      <c r="O423">
        <v>0</v>
      </c>
      <c r="P423">
        <v>0</v>
      </c>
      <c r="Q423">
        <v>1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383</v>
      </c>
      <c r="Z423">
        <v>0</v>
      </c>
      <c r="AA423">
        <v>0</v>
      </c>
      <c r="AB423">
        <v>383</v>
      </c>
      <c r="AC423">
        <v>11</v>
      </c>
      <c r="AD423">
        <v>372</v>
      </c>
      <c r="AE423">
        <v>4</v>
      </c>
      <c r="AF423">
        <v>0</v>
      </c>
      <c r="AG423">
        <v>1</v>
      </c>
      <c r="AH423">
        <v>0</v>
      </c>
      <c r="AI423">
        <v>0</v>
      </c>
      <c r="AJ423">
        <v>1</v>
      </c>
      <c r="AK423">
        <v>0</v>
      </c>
      <c r="AL423">
        <v>0</v>
      </c>
      <c r="AM423">
        <v>0</v>
      </c>
      <c r="AN423">
        <v>0</v>
      </c>
      <c r="AO423">
        <v>2</v>
      </c>
      <c r="AP423">
        <v>4</v>
      </c>
      <c r="AQ423">
        <v>5</v>
      </c>
      <c r="AR423">
        <v>1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1</v>
      </c>
      <c r="AZ423">
        <v>2</v>
      </c>
      <c r="BA423">
        <v>1</v>
      </c>
      <c r="BB423">
        <v>5</v>
      </c>
      <c r="BC423">
        <v>62</v>
      </c>
      <c r="BD423">
        <v>17</v>
      </c>
      <c r="BE423">
        <v>1</v>
      </c>
      <c r="BF423">
        <v>0</v>
      </c>
      <c r="BG423">
        <v>0</v>
      </c>
      <c r="BH423">
        <v>5</v>
      </c>
      <c r="BI423">
        <v>4</v>
      </c>
      <c r="BJ423">
        <v>1</v>
      </c>
      <c r="BK423">
        <v>0</v>
      </c>
      <c r="BL423">
        <v>0</v>
      </c>
      <c r="BM423">
        <v>34</v>
      </c>
      <c r="BN423">
        <v>62</v>
      </c>
      <c r="BO423">
        <v>132</v>
      </c>
      <c r="BP423">
        <v>102</v>
      </c>
      <c r="BQ423">
        <v>5</v>
      </c>
      <c r="BR423">
        <v>12</v>
      </c>
      <c r="BS423">
        <v>0</v>
      </c>
      <c r="BT423">
        <v>1</v>
      </c>
      <c r="BU423">
        <v>5</v>
      </c>
      <c r="BV423">
        <v>2</v>
      </c>
      <c r="BW423">
        <v>1</v>
      </c>
      <c r="BX423">
        <v>3</v>
      </c>
      <c r="BY423">
        <v>1</v>
      </c>
      <c r="BZ423">
        <v>132</v>
      </c>
      <c r="CA423">
        <v>9</v>
      </c>
      <c r="CB423">
        <v>3</v>
      </c>
      <c r="CC423">
        <v>2</v>
      </c>
      <c r="CD423">
        <v>2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2</v>
      </c>
      <c r="CK423">
        <v>0</v>
      </c>
      <c r="CL423">
        <v>9</v>
      </c>
      <c r="CM423">
        <v>6</v>
      </c>
      <c r="CN423">
        <v>1</v>
      </c>
      <c r="CO423">
        <v>1</v>
      </c>
      <c r="CP423">
        <v>0</v>
      </c>
      <c r="CQ423">
        <v>0</v>
      </c>
      <c r="CR423">
        <v>1</v>
      </c>
      <c r="CS423">
        <v>0</v>
      </c>
      <c r="CT423">
        <v>0</v>
      </c>
      <c r="CU423">
        <v>3</v>
      </c>
      <c r="CV423">
        <v>0</v>
      </c>
      <c r="CW423">
        <v>0</v>
      </c>
      <c r="CX423">
        <v>6</v>
      </c>
      <c r="CY423">
        <v>17</v>
      </c>
      <c r="CZ423">
        <v>14</v>
      </c>
      <c r="DA423">
        <v>0</v>
      </c>
      <c r="DB423">
        <v>0</v>
      </c>
      <c r="DC423">
        <v>0</v>
      </c>
      <c r="DD423">
        <v>0</v>
      </c>
      <c r="DE423">
        <v>1</v>
      </c>
      <c r="DF423">
        <v>1</v>
      </c>
      <c r="DG423">
        <v>1</v>
      </c>
      <c r="DH423">
        <v>0</v>
      </c>
      <c r="DI423">
        <v>0</v>
      </c>
      <c r="DJ423">
        <v>17</v>
      </c>
      <c r="DK423">
        <v>124</v>
      </c>
      <c r="DL423">
        <v>104</v>
      </c>
      <c r="DM423">
        <v>12</v>
      </c>
      <c r="DN423">
        <v>1</v>
      </c>
      <c r="DO423">
        <v>2</v>
      </c>
      <c r="DP423">
        <v>0</v>
      </c>
      <c r="DQ423">
        <v>2</v>
      </c>
      <c r="DR423">
        <v>0</v>
      </c>
      <c r="DS423">
        <v>0</v>
      </c>
      <c r="DT423">
        <v>1</v>
      </c>
      <c r="DU423">
        <v>2</v>
      </c>
      <c r="DV423">
        <v>124</v>
      </c>
      <c r="DW423">
        <v>11</v>
      </c>
      <c r="DX423">
        <v>1</v>
      </c>
      <c r="DY423">
        <v>1</v>
      </c>
      <c r="DZ423">
        <v>0</v>
      </c>
      <c r="EA423">
        <v>0</v>
      </c>
      <c r="EB423">
        <v>8</v>
      </c>
      <c r="EC423">
        <v>1</v>
      </c>
      <c r="ED423">
        <v>0</v>
      </c>
      <c r="EE423">
        <v>0</v>
      </c>
      <c r="EF423">
        <v>0</v>
      </c>
      <c r="EG423">
        <v>0</v>
      </c>
      <c r="EH423">
        <v>11</v>
      </c>
      <c r="EI423">
        <v>1</v>
      </c>
      <c r="EJ423">
        <v>0</v>
      </c>
      <c r="EK423">
        <v>1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1</v>
      </c>
      <c r="ES423">
        <v>0</v>
      </c>
      <c r="ET423">
        <v>0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1</v>
      </c>
      <c r="FF423">
        <v>0</v>
      </c>
      <c r="FG423">
        <v>1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1</v>
      </c>
    </row>
    <row r="424" spans="1:172" ht="14.25">
      <c r="A424">
        <v>419</v>
      </c>
      <c r="B424" t="str">
        <f t="shared" si="72"/>
        <v>106201</v>
      </c>
      <c r="C424" t="str">
        <f t="shared" si="73"/>
        <v>m. Piotrków Trybunalski</v>
      </c>
      <c r="D424" t="str">
        <f t="shared" si="74"/>
        <v>Piotrków Trybunalski</v>
      </c>
      <c r="E424" t="str">
        <f t="shared" si="71"/>
        <v>łódzkie</v>
      </c>
      <c r="F424">
        <v>32</v>
      </c>
      <c r="G424" t="str">
        <f>"Lokal Wyborczy (na terenie dawnej HSG Hortensja), ul. 1 Maja 21, 97-300 Piotrków Trybunalski"</f>
        <v>Lokal Wyborczy (na terenie dawnej HSG Hortensja), ul. 1 Maja 21, 97-300 Piotrków Trybunalski</v>
      </c>
      <c r="H424">
        <v>1569</v>
      </c>
      <c r="I424">
        <v>1568</v>
      </c>
      <c r="J424">
        <v>1</v>
      </c>
      <c r="K424">
        <v>1087</v>
      </c>
      <c r="L424">
        <v>850</v>
      </c>
      <c r="M424">
        <v>237</v>
      </c>
      <c r="N424">
        <v>236</v>
      </c>
      <c r="O424">
        <v>1</v>
      </c>
      <c r="P424">
        <v>0</v>
      </c>
      <c r="Q424">
        <v>1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237</v>
      </c>
      <c r="Z424">
        <v>0</v>
      </c>
      <c r="AA424">
        <v>0</v>
      </c>
      <c r="AB424">
        <v>237</v>
      </c>
      <c r="AC424">
        <v>6</v>
      </c>
      <c r="AD424">
        <v>231</v>
      </c>
      <c r="AE424">
        <v>3</v>
      </c>
      <c r="AF424">
        <v>2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1</v>
      </c>
      <c r="AP424">
        <v>3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41</v>
      </c>
      <c r="BD424">
        <v>7</v>
      </c>
      <c r="BE424">
        <v>0</v>
      </c>
      <c r="BF424">
        <v>1</v>
      </c>
      <c r="BG424">
        <v>2</v>
      </c>
      <c r="BH424">
        <v>12</v>
      </c>
      <c r="BI424">
        <v>2</v>
      </c>
      <c r="BJ424">
        <v>1</v>
      </c>
      <c r="BK424">
        <v>0</v>
      </c>
      <c r="BL424">
        <v>1</v>
      </c>
      <c r="BM424">
        <v>15</v>
      </c>
      <c r="BN424">
        <v>41</v>
      </c>
      <c r="BO424">
        <v>88</v>
      </c>
      <c r="BP424">
        <v>72</v>
      </c>
      <c r="BQ424">
        <v>6</v>
      </c>
      <c r="BR424">
        <v>1</v>
      </c>
      <c r="BS424">
        <v>0</v>
      </c>
      <c r="BT424">
        <v>0</v>
      </c>
      <c r="BU424">
        <v>1</v>
      </c>
      <c r="BV424">
        <v>2</v>
      </c>
      <c r="BW424">
        <v>0</v>
      </c>
      <c r="BX424">
        <v>5</v>
      </c>
      <c r="BY424">
        <v>1</v>
      </c>
      <c r="BZ424">
        <v>88</v>
      </c>
      <c r="CA424">
        <v>2</v>
      </c>
      <c r="CB424">
        <v>1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1</v>
      </c>
      <c r="CK424">
        <v>0</v>
      </c>
      <c r="CL424">
        <v>2</v>
      </c>
      <c r="CM424">
        <v>6</v>
      </c>
      <c r="CN424">
        <v>4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1</v>
      </c>
      <c r="CU424">
        <v>1</v>
      </c>
      <c r="CV424">
        <v>0</v>
      </c>
      <c r="CW424">
        <v>0</v>
      </c>
      <c r="CX424">
        <v>6</v>
      </c>
      <c r="CY424">
        <v>9</v>
      </c>
      <c r="CZ424">
        <v>5</v>
      </c>
      <c r="DA424">
        <v>2</v>
      </c>
      <c r="DB424">
        <v>1</v>
      </c>
      <c r="DC424">
        <v>1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9</v>
      </c>
      <c r="DK424">
        <v>74</v>
      </c>
      <c r="DL424">
        <v>59</v>
      </c>
      <c r="DM424">
        <v>9</v>
      </c>
      <c r="DN424">
        <v>1</v>
      </c>
      <c r="DO424">
        <v>0</v>
      </c>
      <c r="DP424">
        <v>1</v>
      </c>
      <c r="DQ424">
        <v>0</v>
      </c>
      <c r="DR424">
        <v>3</v>
      </c>
      <c r="DS424">
        <v>0</v>
      </c>
      <c r="DT424">
        <v>1</v>
      </c>
      <c r="DU424">
        <v>0</v>
      </c>
      <c r="DV424">
        <v>74</v>
      </c>
      <c r="DW424">
        <v>5</v>
      </c>
      <c r="DX424">
        <v>0</v>
      </c>
      <c r="DY424">
        <v>0</v>
      </c>
      <c r="DZ424">
        <v>0</v>
      </c>
      <c r="EA424">
        <v>0</v>
      </c>
      <c r="EB424">
        <v>3</v>
      </c>
      <c r="EC424">
        <v>1</v>
      </c>
      <c r="ED424">
        <v>0</v>
      </c>
      <c r="EE424">
        <v>0</v>
      </c>
      <c r="EF424">
        <v>1</v>
      </c>
      <c r="EG424">
        <v>0</v>
      </c>
      <c r="EH424">
        <v>5</v>
      </c>
      <c r="EI424">
        <v>1</v>
      </c>
      <c r="EJ424">
        <v>0</v>
      </c>
      <c r="EK424">
        <v>1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1</v>
      </c>
      <c r="ES424">
        <v>1</v>
      </c>
      <c r="ET424">
        <v>0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1</v>
      </c>
      <c r="FB424">
        <v>0</v>
      </c>
      <c r="FC424">
        <v>0</v>
      </c>
      <c r="FD424">
        <v>1</v>
      </c>
      <c r="FE424">
        <v>1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0</v>
      </c>
      <c r="FM424">
        <v>0</v>
      </c>
      <c r="FN424">
        <v>0</v>
      </c>
      <c r="FO424">
        <v>1</v>
      </c>
      <c r="FP424">
        <v>1</v>
      </c>
    </row>
    <row r="425" spans="1:172" ht="14.25">
      <c r="A425">
        <v>420</v>
      </c>
      <c r="B425" t="str">
        <f t="shared" si="72"/>
        <v>106201</v>
      </c>
      <c r="C425" t="str">
        <f t="shared" si="73"/>
        <v>m. Piotrków Trybunalski</v>
      </c>
      <c r="D425" t="str">
        <f t="shared" si="74"/>
        <v>Piotrków Trybunalski</v>
      </c>
      <c r="E425" t="str">
        <f t="shared" si="71"/>
        <v>łódzkie</v>
      </c>
      <c r="F425">
        <v>33</v>
      </c>
      <c r="G425" t="s">
        <v>40</v>
      </c>
      <c r="H425">
        <v>2349</v>
      </c>
      <c r="I425">
        <v>2349</v>
      </c>
      <c r="J425">
        <v>0</v>
      </c>
      <c r="K425">
        <v>1658</v>
      </c>
      <c r="L425">
        <v>954</v>
      </c>
      <c r="M425">
        <v>704</v>
      </c>
      <c r="N425">
        <v>704</v>
      </c>
      <c r="O425">
        <v>0</v>
      </c>
      <c r="P425">
        <v>0</v>
      </c>
      <c r="Q425">
        <v>3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703</v>
      </c>
      <c r="Z425">
        <v>0</v>
      </c>
      <c r="AA425">
        <v>0</v>
      </c>
      <c r="AB425">
        <v>703</v>
      </c>
      <c r="AC425">
        <v>31</v>
      </c>
      <c r="AD425">
        <v>672</v>
      </c>
      <c r="AE425">
        <v>13</v>
      </c>
      <c r="AF425">
        <v>3</v>
      </c>
      <c r="AG425">
        <v>3</v>
      </c>
      <c r="AH425">
        <v>0</v>
      </c>
      <c r="AI425">
        <v>1</v>
      </c>
      <c r="AJ425">
        <v>2</v>
      </c>
      <c r="AK425">
        <v>1</v>
      </c>
      <c r="AL425">
        <v>0</v>
      </c>
      <c r="AM425">
        <v>1</v>
      </c>
      <c r="AN425">
        <v>0</v>
      </c>
      <c r="AO425">
        <v>2</v>
      </c>
      <c r="AP425">
        <v>13</v>
      </c>
      <c r="AQ425">
        <v>2</v>
      </c>
      <c r="AR425">
        <v>1</v>
      </c>
      <c r="AS425">
        <v>0</v>
      </c>
      <c r="AT425">
        <v>0</v>
      </c>
      <c r="AU425">
        <v>1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2</v>
      </c>
      <c r="BC425">
        <v>91</v>
      </c>
      <c r="BD425">
        <v>16</v>
      </c>
      <c r="BE425">
        <v>9</v>
      </c>
      <c r="BF425">
        <v>1</v>
      </c>
      <c r="BG425">
        <v>1</v>
      </c>
      <c r="BH425">
        <v>22</v>
      </c>
      <c r="BI425">
        <v>6</v>
      </c>
      <c r="BJ425">
        <v>4</v>
      </c>
      <c r="BK425">
        <v>0</v>
      </c>
      <c r="BL425">
        <v>1</v>
      </c>
      <c r="BM425">
        <v>31</v>
      </c>
      <c r="BN425">
        <v>91</v>
      </c>
      <c r="BO425">
        <v>258</v>
      </c>
      <c r="BP425">
        <v>195</v>
      </c>
      <c r="BQ425">
        <v>10</v>
      </c>
      <c r="BR425">
        <v>26</v>
      </c>
      <c r="BS425">
        <v>4</v>
      </c>
      <c r="BT425">
        <v>0</v>
      </c>
      <c r="BU425">
        <v>5</v>
      </c>
      <c r="BV425">
        <v>1</v>
      </c>
      <c r="BW425">
        <v>3</v>
      </c>
      <c r="BX425">
        <v>14</v>
      </c>
      <c r="BY425">
        <v>0</v>
      </c>
      <c r="BZ425">
        <v>258</v>
      </c>
      <c r="CA425">
        <v>11</v>
      </c>
      <c r="CB425">
        <v>2</v>
      </c>
      <c r="CC425">
        <v>0</v>
      </c>
      <c r="CD425">
        <v>2</v>
      </c>
      <c r="CE425">
        <v>0</v>
      </c>
      <c r="CF425">
        <v>1</v>
      </c>
      <c r="CG425">
        <v>2</v>
      </c>
      <c r="CH425">
        <v>3</v>
      </c>
      <c r="CI425">
        <v>0</v>
      </c>
      <c r="CJ425">
        <v>1</v>
      </c>
      <c r="CK425">
        <v>0</v>
      </c>
      <c r="CL425">
        <v>11</v>
      </c>
      <c r="CM425">
        <v>15</v>
      </c>
      <c r="CN425">
        <v>11</v>
      </c>
      <c r="CO425">
        <v>2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1</v>
      </c>
      <c r="CV425">
        <v>0</v>
      </c>
      <c r="CW425">
        <v>1</v>
      </c>
      <c r="CX425">
        <v>15</v>
      </c>
      <c r="CY425">
        <v>52</v>
      </c>
      <c r="CZ425">
        <v>37</v>
      </c>
      <c r="DA425">
        <v>2</v>
      </c>
      <c r="DB425">
        <v>2</v>
      </c>
      <c r="DC425">
        <v>0</v>
      </c>
      <c r="DD425">
        <v>1</v>
      </c>
      <c r="DE425">
        <v>0</v>
      </c>
      <c r="DF425">
        <v>1</v>
      </c>
      <c r="DG425">
        <v>6</v>
      </c>
      <c r="DH425">
        <v>1</v>
      </c>
      <c r="DI425">
        <v>2</v>
      </c>
      <c r="DJ425">
        <v>52</v>
      </c>
      <c r="DK425">
        <v>210</v>
      </c>
      <c r="DL425">
        <v>178</v>
      </c>
      <c r="DM425">
        <v>18</v>
      </c>
      <c r="DN425">
        <v>1</v>
      </c>
      <c r="DO425">
        <v>0</v>
      </c>
      <c r="DP425">
        <v>5</v>
      </c>
      <c r="DQ425">
        <v>0</v>
      </c>
      <c r="DR425">
        <v>8</v>
      </c>
      <c r="DS425">
        <v>0</v>
      </c>
      <c r="DT425">
        <v>0</v>
      </c>
      <c r="DU425">
        <v>0</v>
      </c>
      <c r="DV425">
        <v>210</v>
      </c>
      <c r="DW425">
        <v>13</v>
      </c>
      <c r="DX425">
        <v>5</v>
      </c>
      <c r="DY425">
        <v>2</v>
      </c>
      <c r="DZ425">
        <v>0</v>
      </c>
      <c r="EA425">
        <v>0</v>
      </c>
      <c r="EB425">
        <v>5</v>
      </c>
      <c r="EC425">
        <v>0</v>
      </c>
      <c r="ED425">
        <v>0</v>
      </c>
      <c r="EE425">
        <v>0</v>
      </c>
      <c r="EF425">
        <v>0</v>
      </c>
      <c r="EG425">
        <v>1</v>
      </c>
      <c r="EH425">
        <v>13</v>
      </c>
      <c r="EI425">
        <v>2</v>
      </c>
      <c r="EJ425">
        <v>0</v>
      </c>
      <c r="EK425">
        <v>2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2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5</v>
      </c>
      <c r="FF425">
        <v>0</v>
      </c>
      <c r="FG425">
        <v>3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1</v>
      </c>
      <c r="FO425">
        <v>1</v>
      </c>
      <c r="FP425">
        <v>5</v>
      </c>
    </row>
    <row r="426" spans="1:172" ht="14.25">
      <c r="A426">
        <v>421</v>
      </c>
      <c r="B426" t="str">
        <f t="shared" si="72"/>
        <v>106201</v>
      </c>
      <c r="C426" t="str">
        <f t="shared" si="73"/>
        <v>m. Piotrków Trybunalski</v>
      </c>
      <c r="D426" t="str">
        <f t="shared" si="74"/>
        <v>Piotrków Trybunalski</v>
      </c>
      <c r="E426" t="str">
        <f t="shared" si="71"/>
        <v>łódzkie</v>
      </c>
      <c r="F426">
        <v>34</v>
      </c>
      <c r="G426" t="str">
        <f>"Przedszkole Samorządowe Nr 26, ul. Wojska Polskiego 133A, 97-300 Piotrków Trybunalski"</f>
        <v>Przedszkole Samorządowe Nr 26, ul. Wojska Polskiego 133A, 97-300 Piotrków Trybunalski</v>
      </c>
      <c r="H426">
        <v>1974</v>
      </c>
      <c r="I426">
        <v>1974</v>
      </c>
      <c r="J426">
        <v>0</v>
      </c>
      <c r="K426">
        <v>1369</v>
      </c>
      <c r="L426">
        <v>867</v>
      </c>
      <c r="M426">
        <v>502</v>
      </c>
      <c r="N426">
        <v>502</v>
      </c>
      <c r="O426">
        <v>0</v>
      </c>
      <c r="P426">
        <v>0</v>
      </c>
      <c r="Q426">
        <v>2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502</v>
      </c>
      <c r="Z426">
        <v>0</v>
      </c>
      <c r="AA426">
        <v>0</v>
      </c>
      <c r="AB426">
        <v>502</v>
      </c>
      <c r="AC426">
        <v>7</v>
      </c>
      <c r="AD426">
        <v>495</v>
      </c>
      <c r="AE426">
        <v>7</v>
      </c>
      <c r="AF426">
        <v>4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1</v>
      </c>
      <c r="AM426">
        <v>0</v>
      </c>
      <c r="AN426">
        <v>1</v>
      </c>
      <c r="AO426">
        <v>1</v>
      </c>
      <c r="AP426">
        <v>7</v>
      </c>
      <c r="AQ426">
        <v>7</v>
      </c>
      <c r="AR426">
        <v>5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1</v>
      </c>
      <c r="AY426">
        <v>0</v>
      </c>
      <c r="AZ426">
        <v>0</v>
      </c>
      <c r="BA426">
        <v>1</v>
      </c>
      <c r="BB426">
        <v>7</v>
      </c>
      <c r="BC426">
        <v>48</v>
      </c>
      <c r="BD426">
        <v>14</v>
      </c>
      <c r="BE426">
        <v>3</v>
      </c>
      <c r="BF426">
        <v>0</v>
      </c>
      <c r="BG426">
        <v>0</v>
      </c>
      <c r="BH426">
        <v>11</v>
      </c>
      <c r="BI426">
        <v>1</v>
      </c>
      <c r="BJ426">
        <v>1</v>
      </c>
      <c r="BK426">
        <v>0</v>
      </c>
      <c r="BL426">
        <v>0</v>
      </c>
      <c r="BM426">
        <v>18</v>
      </c>
      <c r="BN426">
        <v>48</v>
      </c>
      <c r="BO426">
        <v>189</v>
      </c>
      <c r="BP426">
        <v>139</v>
      </c>
      <c r="BQ426">
        <v>13</v>
      </c>
      <c r="BR426">
        <v>25</v>
      </c>
      <c r="BS426">
        <v>1</v>
      </c>
      <c r="BT426">
        <v>2</v>
      </c>
      <c r="BU426">
        <v>3</v>
      </c>
      <c r="BV426">
        <v>0</v>
      </c>
      <c r="BW426">
        <v>0</v>
      </c>
      <c r="BX426">
        <v>6</v>
      </c>
      <c r="BY426">
        <v>0</v>
      </c>
      <c r="BZ426">
        <v>189</v>
      </c>
      <c r="CA426">
        <v>18</v>
      </c>
      <c r="CB426">
        <v>10</v>
      </c>
      <c r="CC426">
        <v>4</v>
      </c>
      <c r="CD426">
        <v>3</v>
      </c>
      <c r="CE426">
        <v>0</v>
      </c>
      <c r="CF426">
        <v>0</v>
      </c>
      <c r="CG426">
        <v>0</v>
      </c>
      <c r="CH426">
        <v>0</v>
      </c>
      <c r="CI426">
        <v>1</v>
      </c>
      <c r="CJ426">
        <v>0</v>
      </c>
      <c r="CK426">
        <v>0</v>
      </c>
      <c r="CL426">
        <v>18</v>
      </c>
      <c r="CM426">
        <v>6</v>
      </c>
      <c r="CN426">
        <v>2</v>
      </c>
      <c r="CO426">
        <v>1</v>
      </c>
      <c r="CP426">
        <v>0</v>
      </c>
      <c r="CQ426">
        <v>0</v>
      </c>
      <c r="CR426">
        <v>0</v>
      </c>
      <c r="CS426">
        <v>0</v>
      </c>
      <c r="CT426">
        <v>1</v>
      </c>
      <c r="CU426">
        <v>2</v>
      </c>
      <c r="CV426">
        <v>0</v>
      </c>
      <c r="CW426">
        <v>0</v>
      </c>
      <c r="CX426">
        <v>6</v>
      </c>
      <c r="CY426">
        <v>26</v>
      </c>
      <c r="CZ426">
        <v>13</v>
      </c>
      <c r="DA426">
        <v>5</v>
      </c>
      <c r="DB426">
        <v>0</v>
      </c>
      <c r="DC426">
        <v>0</v>
      </c>
      <c r="DD426">
        <v>0</v>
      </c>
      <c r="DE426">
        <v>0</v>
      </c>
      <c r="DF426">
        <v>3</v>
      </c>
      <c r="DG426">
        <v>3</v>
      </c>
      <c r="DH426">
        <v>0</v>
      </c>
      <c r="DI426">
        <v>2</v>
      </c>
      <c r="DJ426">
        <v>26</v>
      </c>
      <c r="DK426">
        <v>174</v>
      </c>
      <c r="DL426">
        <v>144</v>
      </c>
      <c r="DM426">
        <v>16</v>
      </c>
      <c r="DN426">
        <v>4</v>
      </c>
      <c r="DO426">
        <v>1</v>
      </c>
      <c r="DP426">
        <v>0</v>
      </c>
      <c r="DQ426">
        <v>1</v>
      </c>
      <c r="DR426">
        <v>5</v>
      </c>
      <c r="DS426">
        <v>0</v>
      </c>
      <c r="DT426">
        <v>1</v>
      </c>
      <c r="DU426">
        <v>2</v>
      </c>
      <c r="DV426">
        <v>174</v>
      </c>
      <c r="DW426">
        <v>13</v>
      </c>
      <c r="DX426">
        <v>2</v>
      </c>
      <c r="DY426">
        <v>1</v>
      </c>
      <c r="DZ426">
        <v>0</v>
      </c>
      <c r="EA426">
        <v>1</v>
      </c>
      <c r="EB426">
        <v>5</v>
      </c>
      <c r="EC426">
        <v>1</v>
      </c>
      <c r="ED426">
        <v>0</v>
      </c>
      <c r="EE426">
        <v>0</v>
      </c>
      <c r="EF426">
        <v>0</v>
      </c>
      <c r="EG426">
        <v>3</v>
      </c>
      <c r="EH426">
        <v>13</v>
      </c>
      <c r="EI426">
        <v>3</v>
      </c>
      <c r="EJ426">
        <v>0</v>
      </c>
      <c r="EK426">
        <v>3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3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4</v>
      </c>
      <c r="FF426">
        <v>3</v>
      </c>
      <c r="FG426">
        <v>0</v>
      </c>
      <c r="FH426">
        <v>0</v>
      </c>
      <c r="FI426">
        <v>0</v>
      </c>
      <c r="FJ426">
        <v>1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4</v>
      </c>
    </row>
    <row r="427" spans="1:172" ht="14.25">
      <c r="A427">
        <v>422</v>
      </c>
      <c r="B427" t="str">
        <f t="shared" si="72"/>
        <v>106201</v>
      </c>
      <c r="C427" t="str">
        <f t="shared" si="73"/>
        <v>m. Piotrków Trybunalski</v>
      </c>
      <c r="D427" t="str">
        <f t="shared" si="74"/>
        <v>Piotrków Trybunalski</v>
      </c>
      <c r="E427" t="str">
        <f t="shared" si="71"/>
        <v>łódzkie</v>
      </c>
      <c r="F427">
        <v>35</v>
      </c>
      <c r="G427" t="str">
        <f>"Zespół Szkolno-Gimnazjalny Nr 1, ul. Wysoka 28/38, 97-300 Piotrków Trybunalski"</f>
        <v>Zespół Szkolno-Gimnazjalny Nr 1, ul. Wysoka 28/38, 97-300 Piotrków Trybunalski</v>
      </c>
      <c r="H427">
        <v>1533</v>
      </c>
      <c r="I427">
        <v>1533</v>
      </c>
      <c r="J427">
        <v>0</v>
      </c>
      <c r="K427">
        <v>1075</v>
      </c>
      <c r="L427">
        <v>727</v>
      </c>
      <c r="M427">
        <v>348</v>
      </c>
      <c r="N427">
        <v>348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348</v>
      </c>
      <c r="Z427">
        <v>0</v>
      </c>
      <c r="AA427">
        <v>0</v>
      </c>
      <c r="AB427">
        <v>348</v>
      </c>
      <c r="AC427">
        <v>12</v>
      </c>
      <c r="AD427">
        <v>336</v>
      </c>
      <c r="AE427">
        <v>11</v>
      </c>
      <c r="AF427">
        <v>3</v>
      </c>
      <c r="AG427">
        <v>2</v>
      </c>
      <c r="AH427">
        <v>0</v>
      </c>
      <c r="AI427">
        <v>0</v>
      </c>
      <c r="AJ427">
        <v>0</v>
      </c>
      <c r="AK427">
        <v>1</v>
      </c>
      <c r="AL427">
        <v>0</v>
      </c>
      <c r="AM427">
        <v>0</v>
      </c>
      <c r="AN427">
        <v>2</v>
      </c>
      <c r="AO427">
        <v>3</v>
      </c>
      <c r="AP427">
        <v>11</v>
      </c>
      <c r="AQ427">
        <v>2</v>
      </c>
      <c r="AR427">
        <v>2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2</v>
      </c>
      <c r="BC427">
        <v>53</v>
      </c>
      <c r="BD427">
        <v>9</v>
      </c>
      <c r="BE427">
        <v>2</v>
      </c>
      <c r="BF427">
        <v>0</v>
      </c>
      <c r="BG427">
        <v>2</v>
      </c>
      <c r="BH427">
        <v>10</v>
      </c>
      <c r="BI427">
        <v>4</v>
      </c>
      <c r="BJ427">
        <v>2</v>
      </c>
      <c r="BK427">
        <v>1</v>
      </c>
      <c r="BL427">
        <v>1</v>
      </c>
      <c r="BM427">
        <v>22</v>
      </c>
      <c r="BN427">
        <v>53</v>
      </c>
      <c r="BO427">
        <v>122</v>
      </c>
      <c r="BP427">
        <v>91</v>
      </c>
      <c r="BQ427">
        <v>4</v>
      </c>
      <c r="BR427">
        <v>8</v>
      </c>
      <c r="BS427">
        <v>2</v>
      </c>
      <c r="BT427">
        <v>1</v>
      </c>
      <c r="BU427">
        <v>2</v>
      </c>
      <c r="BV427">
        <v>2</v>
      </c>
      <c r="BW427">
        <v>0</v>
      </c>
      <c r="BX427">
        <v>9</v>
      </c>
      <c r="BY427">
        <v>3</v>
      </c>
      <c r="BZ427">
        <v>122</v>
      </c>
      <c r="CA427">
        <v>7</v>
      </c>
      <c r="CB427">
        <v>3</v>
      </c>
      <c r="CC427">
        <v>1</v>
      </c>
      <c r="CD427">
        <v>0</v>
      </c>
      <c r="CE427">
        <v>0</v>
      </c>
      <c r="CF427">
        <v>0</v>
      </c>
      <c r="CG427">
        <v>1</v>
      </c>
      <c r="CH427">
        <v>0</v>
      </c>
      <c r="CI427">
        <v>0</v>
      </c>
      <c r="CJ427">
        <v>2</v>
      </c>
      <c r="CK427">
        <v>0</v>
      </c>
      <c r="CL427">
        <v>7</v>
      </c>
      <c r="CM427">
        <v>11</v>
      </c>
      <c r="CN427">
        <v>8</v>
      </c>
      <c r="CO427">
        <v>0</v>
      </c>
      <c r="CP427">
        <v>0</v>
      </c>
      <c r="CQ427">
        <v>1</v>
      </c>
      <c r="CR427">
        <v>0</v>
      </c>
      <c r="CS427">
        <v>0</v>
      </c>
      <c r="CT427">
        <v>0</v>
      </c>
      <c r="CU427">
        <v>2</v>
      </c>
      <c r="CV427">
        <v>0</v>
      </c>
      <c r="CW427">
        <v>0</v>
      </c>
      <c r="CX427">
        <v>11</v>
      </c>
      <c r="CY427">
        <v>21</v>
      </c>
      <c r="CZ427">
        <v>15</v>
      </c>
      <c r="DA427">
        <v>3</v>
      </c>
      <c r="DB427">
        <v>1</v>
      </c>
      <c r="DC427">
        <v>0</v>
      </c>
      <c r="DD427">
        <v>1</v>
      </c>
      <c r="DE427">
        <v>0</v>
      </c>
      <c r="DF427">
        <v>1</v>
      </c>
      <c r="DG427">
        <v>0</v>
      </c>
      <c r="DH427">
        <v>0</v>
      </c>
      <c r="DI427">
        <v>0</v>
      </c>
      <c r="DJ427">
        <v>21</v>
      </c>
      <c r="DK427">
        <v>99</v>
      </c>
      <c r="DL427">
        <v>73</v>
      </c>
      <c r="DM427">
        <v>15</v>
      </c>
      <c r="DN427">
        <v>1</v>
      </c>
      <c r="DO427">
        <v>1</v>
      </c>
      <c r="DP427">
        <v>2</v>
      </c>
      <c r="DQ427">
        <v>1</v>
      </c>
      <c r="DR427">
        <v>4</v>
      </c>
      <c r="DS427">
        <v>0</v>
      </c>
      <c r="DT427">
        <v>0</v>
      </c>
      <c r="DU427">
        <v>2</v>
      </c>
      <c r="DV427">
        <v>99</v>
      </c>
      <c r="DW427">
        <v>8</v>
      </c>
      <c r="DX427">
        <v>1</v>
      </c>
      <c r="DY427">
        <v>0</v>
      </c>
      <c r="DZ427">
        <v>1</v>
      </c>
      <c r="EA427">
        <v>0</v>
      </c>
      <c r="EB427">
        <v>2</v>
      </c>
      <c r="EC427">
        <v>0</v>
      </c>
      <c r="ED427">
        <v>0</v>
      </c>
      <c r="EE427">
        <v>3</v>
      </c>
      <c r="EF427">
        <v>0</v>
      </c>
      <c r="EG427">
        <v>1</v>
      </c>
      <c r="EH427">
        <v>8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2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0</v>
      </c>
      <c r="FM427">
        <v>0</v>
      </c>
      <c r="FN427">
        <v>1</v>
      </c>
      <c r="FO427">
        <v>1</v>
      </c>
      <c r="FP427">
        <v>2</v>
      </c>
    </row>
    <row r="428" spans="1:172" ht="14.25">
      <c r="A428">
        <v>423</v>
      </c>
      <c r="B428" t="str">
        <f t="shared" si="72"/>
        <v>106201</v>
      </c>
      <c r="C428" t="str">
        <f t="shared" si="73"/>
        <v>m. Piotrków Trybunalski</v>
      </c>
      <c r="D428" t="str">
        <f t="shared" si="74"/>
        <v>Piotrków Trybunalski</v>
      </c>
      <c r="E428" t="str">
        <f t="shared" si="71"/>
        <v>łódzkie</v>
      </c>
      <c r="F428">
        <v>36</v>
      </c>
      <c r="G428" t="str">
        <f>"Przedszkole Samorządowe Nr 24 z Oddziałami Integracyjnymi, ul. Topolowa 14A, 97-300 Piotrków Trybunalski"</f>
        <v>Przedszkole Samorządowe Nr 24 z Oddziałami Integracyjnymi, ul. Topolowa 14A, 97-300 Piotrków Trybunalski</v>
      </c>
      <c r="H428">
        <v>1711</v>
      </c>
      <c r="I428">
        <v>1711</v>
      </c>
      <c r="J428">
        <v>0</v>
      </c>
      <c r="K428">
        <v>1182</v>
      </c>
      <c r="L428">
        <v>799</v>
      </c>
      <c r="M428">
        <v>383</v>
      </c>
      <c r="N428">
        <v>383</v>
      </c>
      <c r="O428">
        <v>0</v>
      </c>
      <c r="P428">
        <v>1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383</v>
      </c>
      <c r="Z428">
        <v>0</v>
      </c>
      <c r="AA428">
        <v>0</v>
      </c>
      <c r="AB428">
        <v>383</v>
      </c>
      <c r="AC428">
        <v>20</v>
      </c>
      <c r="AD428">
        <v>363</v>
      </c>
      <c r="AE428">
        <v>2</v>
      </c>
      <c r="AF428">
        <v>1</v>
      </c>
      <c r="AG428">
        <v>1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2</v>
      </c>
      <c r="AQ428">
        <v>1</v>
      </c>
      <c r="AR428">
        <v>1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1</v>
      </c>
      <c r="BC428">
        <v>66</v>
      </c>
      <c r="BD428">
        <v>18</v>
      </c>
      <c r="BE428">
        <v>3</v>
      </c>
      <c r="BF428">
        <v>3</v>
      </c>
      <c r="BG428">
        <v>2</v>
      </c>
      <c r="BH428">
        <v>13</v>
      </c>
      <c r="BI428">
        <v>2</v>
      </c>
      <c r="BJ428">
        <v>2</v>
      </c>
      <c r="BK428">
        <v>0</v>
      </c>
      <c r="BL428">
        <v>1</v>
      </c>
      <c r="BM428">
        <v>22</v>
      </c>
      <c r="BN428">
        <v>66</v>
      </c>
      <c r="BO428">
        <v>151</v>
      </c>
      <c r="BP428">
        <v>123</v>
      </c>
      <c r="BQ428">
        <v>6</v>
      </c>
      <c r="BR428">
        <v>8</v>
      </c>
      <c r="BS428">
        <v>1</v>
      </c>
      <c r="BT428">
        <v>0</v>
      </c>
      <c r="BU428">
        <v>3</v>
      </c>
      <c r="BV428">
        <v>0</v>
      </c>
      <c r="BW428">
        <v>1</v>
      </c>
      <c r="BX428">
        <v>8</v>
      </c>
      <c r="BY428">
        <v>1</v>
      </c>
      <c r="BZ428">
        <v>151</v>
      </c>
      <c r="CA428">
        <v>5</v>
      </c>
      <c r="CB428">
        <v>1</v>
      </c>
      <c r="CC428">
        <v>2</v>
      </c>
      <c r="CD428">
        <v>1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1</v>
      </c>
      <c r="CK428">
        <v>0</v>
      </c>
      <c r="CL428">
        <v>5</v>
      </c>
      <c r="CM428">
        <v>4</v>
      </c>
      <c r="CN428">
        <v>4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4</v>
      </c>
      <c r="CY428">
        <v>18</v>
      </c>
      <c r="CZ428">
        <v>12</v>
      </c>
      <c r="DA428">
        <v>2</v>
      </c>
      <c r="DB428">
        <v>0</v>
      </c>
      <c r="DC428">
        <v>0</v>
      </c>
      <c r="DD428">
        <v>2</v>
      </c>
      <c r="DE428">
        <v>0</v>
      </c>
      <c r="DF428">
        <v>0</v>
      </c>
      <c r="DG428">
        <v>1</v>
      </c>
      <c r="DH428">
        <v>0</v>
      </c>
      <c r="DI428">
        <v>1</v>
      </c>
      <c r="DJ428">
        <v>18</v>
      </c>
      <c r="DK428">
        <v>107</v>
      </c>
      <c r="DL428">
        <v>83</v>
      </c>
      <c r="DM428">
        <v>14</v>
      </c>
      <c r="DN428">
        <v>0</v>
      </c>
      <c r="DO428">
        <v>1</v>
      </c>
      <c r="DP428">
        <v>2</v>
      </c>
      <c r="DQ428">
        <v>1</v>
      </c>
      <c r="DR428">
        <v>2</v>
      </c>
      <c r="DS428">
        <v>0</v>
      </c>
      <c r="DT428">
        <v>1</v>
      </c>
      <c r="DU428">
        <v>3</v>
      </c>
      <c r="DV428">
        <v>107</v>
      </c>
      <c r="DW428">
        <v>6</v>
      </c>
      <c r="DX428">
        <v>1</v>
      </c>
      <c r="DY428">
        <v>0</v>
      </c>
      <c r="DZ428">
        <v>0</v>
      </c>
      <c r="EA428">
        <v>3</v>
      </c>
      <c r="EB428">
        <v>1</v>
      </c>
      <c r="EC428">
        <v>0</v>
      </c>
      <c r="ED428">
        <v>0</v>
      </c>
      <c r="EE428">
        <v>0</v>
      </c>
      <c r="EF428">
        <v>0</v>
      </c>
      <c r="EG428">
        <v>1</v>
      </c>
      <c r="EH428">
        <v>6</v>
      </c>
      <c r="EI428">
        <v>2</v>
      </c>
      <c r="EJ428">
        <v>0</v>
      </c>
      <c r="EK428">
        <v>2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2</v>
      </c>
      <c r="ES428">
        <v>0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0</v>
      </c>
      <c r="FE428">
        <v>1</v>
      </c>
      <c r="FF428">
        <v>0</v>
      </c>
      <c r="FG428">
        <v>0</v>
      </c>
      <c r="FH428">
        <v>1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1</v>
      </c>
    </row>
    <row r="429" spans="1:172" ht="14.25">
      <c r="A429">
        <v>424</v>
      </c>
      <c r="B429" t="str">
        <f t="shared" si="72"/>
        <v>106201</v>
      </c>
      <c r="C429" t="str">
        <f t="shared" si="73"/>
        <v>m. Piotrków Trybunalski</v>
      </c>
      <c r="D429" t="str">
        <f t="shared" si="74"/>
        <v>Piotrków Trybunalski</v>
      </c>
      <c r="E429" t="str">
        <f t="shared" si="71"/>
        <v>łódzkie</v>
      </c>
      <c r="F429">
        <v>37</v>
      </c>
      <c r="G429" t="str">
        <f>"Ośrodek Doradztwa Rolniczego, ul. Kasztelańska 9, 97-300 Piotrków Trybunalski"</f>
        <v>Ośrodek Doradztwa Rolniczego, ul. Kasztelańska 9, 97-300 Piotrków Trybunalski</v>
      </c>
      <c r="H429">
        <v>1260</v>
      </c>
      <c r="I429">
        <v>1260</v>
      </c>
      <c r="J429">
        <v>0</v>
      </c>
      <c r="K429">
        <v>878</v>
      </c>
      <c r="L429">
        <v>613</v>
      </c>
      <c r="M429">
        <v>265</v>
      </c>
      <c r="N429">
        <v>265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265</v>
      </c>
      <c r="Z429">
        <v>0</v>
      </c>
      <c r="AA429">
        <v>0</v>
      </c>
      <c r="AB429">
        <v>265</v>
      </c>
      <c r="AC429">
        <v>8</v>
      </c>
      <c r="AD429">
        <v>257</v>
      </c>
      <c r="AE429">
        <v>3</v>
      </c>
      <c r="AF429">
        <v>3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3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19</v>
      </c>
      <c r="BD429">
        <v>5</v>
      </c>
      <c r="BE429">
        <v>0</v>
      </c>
      <c r="BF429">
        <v>0</v>
      </c>
      <c r="BG429">
        <v>0</v>
      </c>
      <c r="BH429">
        <v>5</v>
      </c>
      <c r="BI429">
        <v>0</v>
      </c>
      <c r="BJ429">
        <v>0</v>
      </c>
      <c r="BK429">
        <v>0</v>
      </c>
      <c r="BL429">
        <v>1</v>
      </c>
      <c r="BM429">
        <v>8</v>
      </c>
      <c r="BN429">
        <v>19</v>
      </c>
      <c r="BO429">
        <v>129</v>
      </c>
      <c r="BP429">
        <v>114</v>
      </c>
      <c r="BQ429">
        <v>4</v>
      </c>
      <c r="BR429">
        <v>3</v>
      </c>
      <c r="BS429">
        <v>1</v>
      </c>
      <c r="BT429">
        <v>1</v>
      </c>
      <c r="BU429">
        <v>0</v>
      </c>
      <c r="BV429">
        <v>0</v>
      </c>
      <c r="BW429">
        <v>0</v>
      </c>
      <c r="BX429">
        <v>4</v>
      </c>
      <c r="BY429">
        <v>2</v>
      </c>
      <c r="BZ429">
        <v>129</v>
      </c>
      <c r="CA429">
        <v>4</v>
      </c>
      <c r="CB429">
        <v>2</v>
      </c>
      <c r="CC429">
        <v>2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4</v>
      </c>
      <c r="CM429">
        <v>4</v>
      </c>
      <c r="CN429">
        <v>3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1</v>
      </c>
      <c r="CV429">
        <v>0</v>
      </c>
      <c r="CW429">
        <v>0</v>
      </c>
      <c r="CX429">
        <v>4</v>
      </c>
      <c r="CY429">
        <v>25</v>
      </c>
      <c r="CZ429">
        <v>20</v>
      </c>
      <c r="DA429">
        <v>3</v>
      </c>
      <c r="DB429">
        <v>0</v>
      </c>
      <c r="DC429">
        <v>0</v>
      </c>
      <c r="DD429">
        <v>1</v>
      </c>
      <c r="DE429">
        <v>0</v>
      </c>
      <c r="DF429">
        <v>0</v>
      </c>
      <c r="DG429">
        <v>0</v>
      </c>
      <c r="DH429">
        <v>1</v>
      </c>
      <c r="DI429">
        <v>0</v>
      </c>
      <c r="DJ429">
        <v>25</v>
      </c>
      <c r="DK429">
        <v>58</v>
      </c>
      <c r="DL429">
        <v>38</v>
      </c>
      <c r="DM429">
        <v>7</v>
      </c>
      <c r="DN429">
        <v>1</v>
      </c>
      <c r="DO429">
        <v>1</v>
      </c>
      <c r="DP429">
        <v>2</v>
      </c>
      <c r="DQ429">
        <v>0</v>
      </c>
      <c r="DR429">
        <v>3</v>
      </c>
      <c r="DS429">
        <v>0</v>
      </c>
      <c r="DT429">
        <v>0</v>
      </c>
      <c r="DU429">
        <v>6</v>
      </c>
      <c r="DV429">
        <v>58</v>
      </c>
      <c r="DW429">
        <v>11</v>
      </c>
      <c r="DX429">
        <v>2</v>
      </c>
      <c r="DY429">
        <v>0</v>
      </c>
      <c r="DZ429">
        <v>0</v>
      </c>
      <c r="EA429">
        <v>0</v>
      </c>
      <c r="EB429">
        <v>4</v>
      </c>
      <c r="EC429">
        <v>0</v>
      </c>
      <c r="ED429">
        <v>1</v>
      </c>
      <c r="EE429">
        <v>4</v>
      </c>
      <c r="EF429">
        <v>0</v>
      </c>
      <c r="EG429">
        <v>0</v>
      </c>
      <c r="EH429">
        <v>11</v>
      </c>
      <c r="EI429">
        <v>3</v>
      </c>
      <c r="EJ429">
        <v>0</v>
      </c>
      <c r="EK429">
        <v>3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3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1</v>
      </c>
      <c r="FF429">
        <v>0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1</v>
      </c>
      <c r="FN429">
        <v>0</v>
      </c>
      <c r="FO429">
        <v>0</v>
      </c>
      <c r="FP429">
        <v>1</v>
      </c>
    </row>
    <row r="430" spans="1:172" ht="14.25">
      <c r="A430">
        <v>425</v>
      </c>
      <c r="B430" t="str">
        <f t="shared" si="72"/>
        <v>106201</v>
      </c>
      <c r="C430" t="str">
        <f t="shared" si="73"/>
        <v>m. Piotrków Trybunalski</v>
      </c>
      <c r="D430" t="str">
        <f t="shared" si="74"/>
        <v>Piotrków Trybunalski</v>
      </c>
      <c r="E430" t="str">
        <f t="shared" si="71"/>
        <v>łódzkie</v>
      </c>
      <c r="F430">
        <v>38</v>
      </c>
      <c r="G430" t="str">
        <f>"Samodzielny Szpital Wojewódzki, ul. Rakowska 15, 97-300 Piotrków Trybunalski"</f>
        <v>Samodzielny Szpital Wojewódzki, ul. Rakowska 15, 97-300 Piotrków Trybunalski</v>
      </c>
      <c r="H430">
        <v>248</v>
      </c>
      <c r="I430">
        <v>248</v>
      </c>
      <c r="J430">
        <v>0</v>
      </c>
      <c r="K430">
        <v>249</v>
      </c>
      <c r="L430">
        <v>201</v>
      </c>
      <c r="M430">
        <v>48</v>
      </c>
      <c r="N430">
        <v>48</v>
      </c>
      <c r="O430">
        <v>0</v>
      </c>
      <c r="P430">
        <v>0</v>
      </c>
      <c r="Q430">
        <v>2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48</v>
      </c>
      <c r="Z430">
        <v>0</v>
      </c>
      <c r="AA430">
        <v>0</v>
      </c>
      <c r="AB430">
        <v>48</v>
      </c>
      <c r="AC430">
        <v>1</v>
      </c>
      <c r="AD430">
        <v>47</v>
      </c>
      <c r="AE430">
        <v>3</v>
      </c>
      <c r="AF430">
        <v>2</v>
      </c>
      <c r="AG430">
        <v>0</v>
      </c>
      <c r="AH430">
        <v>1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3</v>
      </c>
      <c r="AQ430">
        <v>1</v>
      </c>
      <c r="AR430">
        <v>1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1</v>
      </c>
      <c r="BC430">
        <v>4</v>
      </c>
      <c r="BD430">
        <v>0</v>
      </c>
      <c r="BE430">
        <v>1</v>
      </c>
      <c r="BF430">
        <v>0</v>
      </c>
      <c r="BG430">
        <v>0</v>
      </c>
      <c r="BH430">
        <v>1</v>
      </c>
      <c r="BI430">
        <v>0</v>
      </c>
      <c r="BJ430">
        <v>0</v>
      </c>
      <c r="BK430">
        <v>0</v>
      </c>
      <c r="BL430">
        <v>0</v>
      </c>
      <c r="BM430">
        <v>2</v>
      </c>
      <c r="BN430">
        <v>4</v>
      </c>
      <c r="BO430">
        <v>21</v>
      </c>
      <c r="BP430">
        <v>16</v>
      </c>
      <c r="BQ430">
        <v>3</v>
      </c>
      <c r="BR430">
        <v>1</v>
      </c>
      <c r="BS430">
        <v>1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21</v>
      </c>
      <c r="CA430">
        <v>1</v>
      </c>
      <c r="CB430">
        <v>1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1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15</v>
      </c>
      <c r="DL430">
        <v>12</v>
      </c>
      <c r="DM430">
        <v>0</v>
      </c>
      <c r="DN430">
        <v>0</v>
      </c>
      <c r="DO430">
        <v>0</v>
      </c>
      <c r="DP430">
        <v>1</v>
      </c>
      <c r="DQ430">
        <v>0</v>
      </c>
      <c r="DR430">
        <v>0</v>
      </c>
      <c r="DS430">
        <v>1</v>
      </c>
      <c r="DT430">
        <v>0</v>
      </c>
      <c r="DU430">
        <v>1</v>
      </c>
      <c r="DV430">
        <v>15</v>
      </c>
      <c r="DW430">
        <v>1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1</v>
      </c>
      <c r="ED430">
        <v>0</v>
      </c>
      <c r="EE430">
        <v>0</v>
      </c>
      <c r="EF430">
        <v>0</v>
      </c>
      <c r="EG430">
        <v>0</v>
      </c>
      <c r="EH430">
        <v>1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1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0</v>
      </c>
      <c r="FO430">
        <v>1</v>
      </c>
      <c r="FP430">
        <v>1</v>
      </c>
    </row>
    <row r="431" spans="1:172" ht="14.25">
      <c r="A431">
        <v>426</v>
      </c>
      <c r="B431" t="str">
        <f t="shared" si="72"/>
        <v>106201</v>
      </c>
      <c r="C431" t="str">
        <f t="shared" si="73"/>
        <v>m. Piotrków Trybunalski</v>
      </c>
      <c r="D431" t="str">
        <f t="shared" si="74"/>
        <v>Piotrków Trybunalski</v>
      </c>
      <c r="E431" t="str">
        <f t="shared" si="71"/>
        <v>łódzkie</v>
      </c>
      <c r="F431">
        <v>39</v>
      </c>
      <c r="G431" t="str">
        <f>"Szpital Powiatowego Zespołu Opieki Zdrowotnej w Piotrkowie Trybunalskim, ul. Roosevelta 3, 97-300 Piotrków Trybunalski"</f>
        <v>Szpital Powiatowego Zespołu Opieki Zdrowotnej w Piotrkowie Trybunalskim, ul. Roosevelta 3, 97-300 Piotrków Trybunalski</v>
      </c>
      <c r="H431">
        <v>59</v>
      </c>
      <c r="I431">
        <v>59</v>
      </c>
      <c r="J431">
        <v>0</v>
      </c>
      <c r="K431">
        <v>120</v>
      </c>
      <c r="L431">
        <v>101</v>
      </c>
      <c r="M431">
        <v>19</v>
      </c>
      <c r="N431">
        <v>19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19</v>
      </c>
      <c r="Z431">
        <v>0</v>
      </c>
      <c r="AA431">
        <v>0</v>
      </c>
      <c r="AB431">
        <v>19</v>
      </c>
      <c r="AC431">
        <v>1</v>
      </c>
      <c r="AD431">
        <v>18</v>
      </c>
      <c r="AE431">
        <v>1</v>
      </c>
      <c r="AF431">
        <v>1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1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3</v>
      </c>
      <c r="BD431">
        <v>0</v>
      </c>
      <c r="BE431">
        <v>0</v>
      </c>
      <c r="BF431">
        <v>1</v>
      </c>
      <c r="BG431">
        <v>0</v>
      </c>
      <c r="BH431">
        <v>0</v>
      </c>
      <c r="BI431">
        <v>1</v>
      </c>
      <c r="BJ431">
        <v>0</v>
      </c>
      <c r="BK431">
        <v>0</v>
      </c>
      <c r="BL431">
        <v>0</v>
      </c>
      <c r="BM431">
        <v>1</v>
      </c>
      <c r="BN431">
        <v>3</v>
      </c>
      <c r="BO431">
        <v>8</v>
      </c>
      <c r="BP431">
        <v>3</v>
      </c>
      <c r="BQ431">
        <v>1</v>
      </c>
      <c r="BR431">
        <v>0</v>
      </c>
      <c r="BS431">
        <v>1</v>
      </c>
      <c r="BT431">
        <v>1</v>
      </c>
      <c r="BU431">
        <v>1</v>
      </c>
      <c r="BV431">
        <v>0</v>
      </c>
      <c r="BW431">
        <v>0</v>
      </c>
      <c r="BX431">
        <v>0</v>
      </c>
      <c r="BY431">
        <v>1</v>
      </c>
      <c r="BZ431">
        <v>8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1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1</v>
      </c>
      <c r="DJ431">
        <v>1</v>
      </c>
      <c r="DK431">
        <v>4</v>
      </c>
      <c r="DL431">
        <v>0</v>
      </c>
      <c r="DM431">
        <v>2</v>
      </c>
      <c r="DN431">
        <v>0</v>
      </c>
      <c r="DO431">
        <v>0</v>
      </c>
      <c r="DP431">
        <v>0</v>
      </c>
      <c r="DQ431">
        <v>0</v>
      </c>
      <c r="DR431">
        <v>2</v>
      </c>
      <c r="DS431">
        <v>0</v>
      </c>
      <c r="DT431">
        <v>0</v>
      </c>
      <c r="DU431">
        <v>0</v>
      </c>
      <c r="DV431">
        <v>4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1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1</v>
      </c>
      <c r="FD431">
        <v>1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</row>
    <row r="432" spans="1:172" ht="14.25">
      <c r="A432">
        <v>427</v>
      </c>
      <c r="B432" t="str">
        <f t="shared" si="72"/>
        <v>106201</v>
      </c>
      <c r="C432" t="str">
        <f t="shared" si="73"/>
        <v>m. Piotrków Trybunalski</v>
      </c>
      <c r="D432" t="str">
        <f t="shared" si="74"/>
        <v>Piotrków Trybunalski</v>
      </c>
      <c r="E432" t="str">
        <f t="shared" si="71"/>
        <v>łódzkie</v>
      </c>
      <c r="F432">
        <v>40</v>
      </c>
      <c r="G432" t="str">
        <f>"Areszt Śledczy, ul. Wronia 76/90, 97-300 Piotrków Trybunalski"</f>
        <v>Areszt Śledczy, ul. Wronia 76/90, 97-300 Piotrków Trybunalski</v>
      </c>
      <c r="H432">
        <v>668</v>
      </c>
      <c r="I432">
        <v>668</v>
      </c>
      <c r="J432">
        <v>0</v>
      </c>
      <c r="K432">
        <v>720</v>
      </c>
      <c r="L432">
        <v>564</v>
      </c>
      <c r="M432">
        <v>156</v>
      </c>
      <c r="N432">
        <v>156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156</v>
      </c>
      <c r="Z432">
        <v>0</v>
      </c>
      <c r="AA432">
        <v>0</v>
      </c>
      <c r="AB432">
        <v>156</v>
      </c>
      <c r="AC432">
        <v>12</v>
      </c>
      <c r="AD432">
        <v>144</v>
      </c>
      <c r="AE432">
        <v>1</v>
      </c>
      <c r="AF432">
        <v>1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1</v>
      </c>
      <c r="AQ432">
        <v>3</v>
      </c>
      <c r="AR432">
        <v>1</v>
      </c>
      <c r="AS432">
        <v>0</v>
      </c>
      <c r="AT432">
        <v>0</v>
      </c>
      <c r="AU432">
        <v>0</v>
      </c>
      <c r="AV432">
        <v>1</v>
      </c>
      <c r="AW432">
        <v>0</v>
      </c>
      <c r="AX432">
        <v>1</v>
      </c>
      <c r="AY432">
        <v>0</v>
      </c>
      <c r="AZ432">
        <v>0</v>
      </c>
      <c r="BA432">
        <v>0</v>
      </c>
      <c r="BB432">
        <v>3</v>
      </c>
      <c r="BC432">
        <v>15</v>
      </c>
      <c r="BD432">
        <v>8</v>
      </c>
      <c r="BE432">
        <v>0</v>
      </c>
      <c r="BF432">
        <v>0</v>
      </c>
      <c r="BG432">
        <v>1</v>
      </c>
      <c r="BH432">
        <v>0</v>
      </c>
      <c r="BI432">
        <v>0</v>
      </c>
      <c r="BJ432">
        <v>2</v>
      </c>
      <c r="BK432">
        <v>0</v>
      </c>
      <c r="BL432">
        <v>2</v>
      </c>
      <c r="BM432">
        <v>2</v>
      </c>
      <c r="BN432">
        <v>15</v>
      </c>
      <c r="BO432">
        <v>5</v>
      </c>
      <c r="BP432">
        <v>3</v>
      </c>
      <c r="BQ432">
        <v>1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1</v>
      </c>
      <c r="BY432">
        <v>0</v>
      </c>
      <c r="BZ432">
        <v>5</v>
      </c>
      <c r="CA432">
        <v>12</v>
      </c>
      <c r="CB432">
        <v>7</v>
      </c>
      <c r="CC432">
        <v>0</v>
      </c>
      <c r="CD432">
        <v>0</v>
      </c>
      <c r="CE432">
        <v>0</v>
      </c>
      <c r="CF432">
        <v>0</v>
      </c>
      <c r="CG432">
        <v>1</v>
      </c>
      <c r="CH432">
        <v>0</v>
      </c>
      <c r="CI432">
        <v>2</v>
      </c>
      <c r="CJ432">
        <v>0</v>
      </c>
      <c r="CK432">
        <v>2</v>
      </c>
      <c r="CL432">
        <v>12</v>
      </c>
      <c r="CM432">
        <v>2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1</v>
      </c>
      <c r="CT432">
        <v>0</v>
      </c>
      <c r="CU432">
        <v>0</v>
      </c>
      <c r="CV432">
        <v>0</v>
      </c>
      <c r="CW432">
        <v>1</v>
      </c>
      <c r="CX432">
        <v>2</v>
      </c>
      <c r="CY432">
        <v>7</v>
      </c>
      <c r="CZ432">
        <v>3</v>
      </c>
      <c r="DA432">
        <v>2</v>
      </c>
      <c r="DB432">
        <v>0</v>
      </c>
      <c r="DC432">
        <v>0</v>
      </c>
      <c r="DD432">
        <v>0</v>
      </c>
      <c r="DE432">
        <v>0</v>
      </c>
      <c r="DF432">
        <v>1</v>
      </c>
      <c r="DG432">
        <v>1</v>
      </c>
      <c r="DH432">
        <v>0</v>
      </c>
      <c r="DI432">
        <v>0</v>
      </c>
      <c r="DJ432">
        <v>7</v>
      </c>
      <c r="DK432">
        <v>86</v>
      </c>
      <c r="DL432">
        <v>19</v>
      </c>
      <c r="DM432">
        <v>37</v>
      </c>
      <c r="DN432">
        <v>6</v>
      </c>
      <c r="DO432">
        <v>4</v>
      </c>
      <c r="DP432">
        <v>6</v>
      </c>
      <c r="DQ432">
        <v>2</v>
      </c>
      <c r="DR432">
        <v>6</v>
      </c>
      <c r="DS432">
        <v>0</v>
      </c>
      <c r="DT432">
        <v>2</v>
      </c>
      <c r="DU432">
        <v>4</v>
      </c>
      <c r="DV432">
        <v>86</v>
      </c>
      <c r="DW432">
        <v>1</v>
      </c>
      <c r="DX432">
        <v>0</v>
      </c>
      <c r="DY432">
        <v>1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1</v>
      </c>
      <c r="EI432">
        <v>7</v>
      </c>
      <c r="EJ432">
        <v>0</v>
      </c>
      <c r="EK432">
        <v>5</v>
      </c>
      <c r="EL432">
        <v>0</v>
      </c>
      <c r="EM432">
        <v>1</v>
      </c>
      <c r="EN432">
        <v>0</v>
      </c>
      <c r="EO432">
        <v>0</v>
      </c>
      <c r="EP432">
        <v>1</v>
      </c>
      <c r="EQ432">
        <v>0</v>
      </c>
      <c r="ER432">
        <v>7</v>
      </c>
      <c r="ES432">
        <v>3</v>
      </c>
      <c r="ET432">
        <v>1</v>
      </c>
      <c r="EU432">
        <v>1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1</v>
      </c>
      <c r="FB432">
        <v>0</v>
      </c>
      <c r="FC432">
        <v>0</v>
      </c>
      <c r="FD432">
        <v>3</v>
      </c>
      <c r="FE432">
        <v>2</v>
      </c>
      <c r="FF432">
        <v>1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0</v>
      </c>
      <c r="FO432">
        <v>1</v>
      </c>
      <c r="FP432">
        <v>2</v>
      </c>
    </row>
    <row r="433" spans="1:172" ht="14.25">
      <c r="A433">
        <v>428</v>
      </c>
      <c r="B433" t="str">
        <f t="shared" si="72"/>
        <v>106201</v>
      </c>
      <c r="C433" t="str">
        <f t="shared" si="73"/>
        <v>m. Piotrków Trybunalski</v>
      </c>
      <c r="D433" t="str">
        <f t="shared" si="74"/>
        <v>Piotrków Trybunalski</v>
      </c>
      <c r="E433" t="str">
        <f t="shared" si="71"/>
        <v>łódzkie</v>
      </c>
      <c r="F433">
        <v>41</v>
      </c>
      <c r="G433" t="str">
        <f>"Dom Pomocy Społecznej, ul. Żwirki 5/7, 97-300 Piotrków Trybunalski"</f>
        <v>Dom Pomocy Społecznej, ul. Żwirki 5/7, 97-300 Piotrków Trybunalski</v>
      </c>
      <c r="H433">
        <v>80</v>
      </c>
      <c r="I433">
        <v>80</v>
      </c>
      <c r="J433">
        <v>0</v>
      </c>
      <c r="K433">
        <v>71</v>
      </c>
      <c r="L433">
        <v>43</v>
      </c>
      <c r="M433">
        <v>28</v>
      </c>
      <c r="N433">
        <v>28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28</v>
      </c>
      <c r="Z433">
        <v>0</v>
      </c>
      <c r="AA433">
        <v>0</v>
      </c>
      <c r="AB433">
        <v>28</v>
      </c>
      <c r="AC433">
        <v>4</v>
      </c>
      <c r="AD433">
        <v>24</v>
      </c>
      <c r="AE433">
        <v>6</v>
      </c>
      <c r="AF433">
        <v>6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6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2</v>
      </c>
      <c r="BD433">
        <v>1</v>
      </c>
      <c r="BE433">
        <v>1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2</v>
      </c>
      <c r="BO433">
        <v>10</v>
      </c>
      <c r="BP433">
        <v>6</v>
      </c>
      <c r="BQ433">
        <v>0</v>
      </c>
      <c r="BR433">
        <v>0</v>
      </c>
      <c r="BS433">
        <v>0</v>
      </c>
      <c r="BT433">
        <v>1</v>
      </c>
      <c r="BU433">
        <v>0</v>
      </c>
      <c r="BV433">
        <v>0</v>
      </c>
      <c r="BW433">
        <v>0</v>
      </c>
      <c r="BX433">
        <v>1</v>
      </c>
      <c r="BY433">
        <v>2</v>
      </c>
      <c r="BZ433">
        <v>10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5</v>
      </c>
      <c r="DL433">
        <v>4</v>
      </c>
      <c r="DM433">
        <v>1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5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1</v>
      </c>
      <c r="EJ433">
        <v>0</v>
      </c>
      <c r="EK433">
        <v>1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1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dcterms:created xsi:type="dcterms:W3CDTF">2014-05-27T11:34:26Z</dcterms:created>
  <dcterms:modified xsi:type="dcterms:W3CDTF">2014-05-27T11:34:26Z</dcterms:modified>
  <cp:category/>
  <cp:version/>
  <cp:contentType/>
  <cp:contentStatus/>
</cp:coreProperties>
</file>