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7825" windowHeight="13170" activeTab="0"/>
  </bookViews>
  <sheets>
    <sheet name="sieradz_rkw" sheetId="1" r:id="rId1"/>
  </sheets>
  <definedNames/>
  <calcPr fullCalcOnLoad="1"/>
</workbook>
</file>

<file path=xl/sharedStrings.xml><?xml version="1.0" encoding="utf-8"?>
<sst xmlns="http://schemas.openxmlformats.org/spreadsheetml/2006/main" count="189" uniqueCount="38">
  <si>
    <t>Wybory posłów do Parlamentu Europejskiego zarządzone na 25 maja 2014 r.</t>
  </si>
  <si>
    <t>Rejonowa Komisja Wyborcza w Sieradzu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</si>
  <si>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</si>
  <si>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</si>
  <si>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</si>
  <si>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</si>
  <si>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</si>
  <si>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</si>
  <si>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</si>
  <si>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</si>
  <si>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</si>
  <si>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</si>
  <si>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</si>
  <si>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</si>
  <si>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</si>
  <si>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</si>
  <si>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</si>
  <si>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</si>
  <si>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</si>
  <si>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</si>
  <si>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</si>
  <si>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</si>
  <si>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</si>
  <si>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</si>
  <si>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</si>
  <si>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</si>
  <si>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</si>
  <si>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</si>
  <si>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</si>
  <si>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</si>
  <si>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</si>
  <si>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</si>
  <si>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</si>
  <si>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</si>
  <si>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</si>
  <si>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</si>
  <si>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="NZOZ MOŻ-MED", ul. Miła 27, 99-200 Poddębice"""</t>
  </si>
  <si>
    <t>="Dom Parafialny Albertówka", Wojków 41, 98-235 Błaszki"""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</si>
</sst>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385"/>
  <sheetViews>
    <sheetView tabSelected="1" zoomScalePageLayoutView="0" workbookViewId="0" topLeftCell="A1">
      <selection activeCell="A2" sqref="A2"/>
    </sheetView>
  </sheetViews>
  <sheetFormatPr defaultColWidth="8.796875" defaultRowHeight="14.25"/>
  <sheetData>
    <row r="1" ht="14.25">
      <c r="A1" t="s">
        <v>0</v>
      </c>
    </row>
    <row r="2" ht="14.25">
      <c r="A2" t="s">
        <v>1</v>
      </c>
    </row>
    <row r="4" spans="21:172" ht="14.25">
      <c r="U4" t="s">
        <v>2</v>
      </c>
      <c r="AE4" t="str">
        <f>"Lista nr 1 — KW Solidarna Polska Zbigniewa Ziobro"</f>
        <v>Lista nr 1 — KW Solidarna Polska Zbigniewa Ziobro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tr">
        <f>"Lista nr 2 — Komitet Wyborczy Wyborców Ruch Narodowy"</f>
        <v>Lista nr 2 — Komitet Wyborczy Wyborców Ruch Narodowy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t="s">
        <v>3</v>
      </c>
      <c r="AY4" t="s">
        <v>3</v>
      </c>
      <c r="AZ4" t="s">
        <v>3</v>
      </c>
      <c r="BA4" t="s">
        <v>3</v>
      </c>
      <c r="BB4" t="s">
        <v>3</v>
      </c>
      <c r="BC4" t="str">
        <f>"Lista nr 3 — KKW SLD-UP"</f>
        <v>Lista nr 3 — KKW SLD-UP</v>
      </c>
      <c r="BD4" t="s">
        <v>3</v>
      </c>
      <c r="BE4" t="s">
        <v>3</v>
      </c>
      <c r="BF4" t="s">
        <v>3</v>
      </c>
      <c r="BG4" t="s">
        <v>3</v>
      </c>
      <c r="BH4" t="s">
        <v>3</v>
      </c>
      <c r="BI4" t="s">
        <v>3</v>
      </c>
      <c r="BJ4" t="s">
        <v>3</v>
      </c>
      <c r="BK4" t="s">
        <v>3</v>
      </c>
      <c r="BL4" t="s">
        <v>3</v>
      </c>
      <c r="BM4" t="s">
        <v>3</v>
      </c>
      <c r="BN4" t="s">
        <v>3</v>
      </c>
      <c r="BO4" t="str">
        <f>"Lista nr 4 — KW Prawo i Sprawiedliwość"</f>
        <v>Lista nr 4 — KW Prawo i Sprawiedliwość</v>
      </c>
      <c r="BP4" t="s">
        <v>3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tr">
        <f>"Lista nr 5 — KKW Europa Plus Twój Ruch"</f>
        <v>Lista nr 5 — KKW Europa Plus Twój Ruch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tr">
        <f>"Lista nr 6 — KW Polska Razem Jarosława Gowina"</f>
        <v>Lista nr 6 — KW Polska Razem Jarosława Gowina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3</v>
      </c>
      <c r="CY4" t="str">
        <f>"Lista nr 7 — KW Nowa Prawica – Janusza Korwin-Mikke"</f>
        <v>Lista nr 7 — KW Nowa Prawica – Janusza Korwin-Mikke</v>
      </c>
      <c r="CZ4" t="s">
        <v>3</v>
      </c>
      <c r="DA4" t="s">
        <v>3</v>
      </c>
      <c r="DB4" t="s">
        <v>3</v>
      </c>
      <c r="DC4" t="s">
        <v>3</v>
      </c>
      <c r="DD4" t="s">
        <v>3</v>
      </c>
      <c r="DE4" t="s">
        <v>3</v>
      </c>
      <c r="DF4" t="s">
        <v>3</v>
      </c>
      <c r="DG4" t="s">
        <v>3</v>
      </c>
      <c r="DH4" t="s">
        <v>3</v>
      </c>
      <c r="DI4" t="s">
        <v>3</v>
      </c>
      <c r="DJ4" t="s">
        <v>3</v>
      </c>
      <c r="DK4" t="str">
        <f>"Lista nr 8 — KW Platforma Obywatelska RP"</f>
        <v>Lista nr 8 — KW Platforma Obywatelska RP</v>
      </c>
      <c r="DL4" t="s">
        <v>3</v>
      </c>
      <c r="DM4" t="s">
        <v>3</v>
      </c>
      <c r="DN4" t="s">
        <v>3</v>
      </c>
      <c r="DO4" t="s">
        <v>3</v>
      </c>
      <c r="DP4" t="s">
        <v>3</v>
      </c>
      <c r="DQ4" t="s">
        <v>3</v>
      </c>
      <c r="DR4" t="s">
        <v>3</v>
      </c>
      <c r="DS4" t="s">
        <v>3</v>
      </c>
      <c r="DT4" t="s">
        <v>3</v>
      </c>
      <c r="DU4" t="s">
        <v>3</v>
      </c>
      <c r="DV4" t="s">
        <v>3</v>
      </c>
      <c r="DW4" t="str">
        <f>"Lista nr 9 — Komitet Wyborczy Polskie Stronnictwo Ludowe"</f>
        <v>Lista nr 9 — Komitet Wyborczy Polskie Stronnictwo Ludowe</v>
      </c>
      <c r="DX4" t="s">
        <v>3</v>
      </c>
      <c r="DY4" t="s">
        <v>3</v>
      </c>
      <c r="DZ4" t="s">
        <v>3</v>
      </c>
      <c r="EA4" t="s">
        <v>3</v>
      </c>
      <c r="EB4" t="s">
        <v>3</v>
      </c>
      <c r="EC4" t="s">
        <v>3</v>
      </c>
      <c r="ED4" t="s">
        <v>3</v>
      </c>
      <c r="EE4" t="s">
        <v>3</v>
      </c>
      <c r="EF4" t="s">
        <v>3</v>
      </c>
      <c r="EG4" t="s">
        <v>3</v>
      </c>
      <c r="EH4" t="s">
        <v>3</v>
      </c>
      <c r="EI4" t="str">
        <f>"Lista nr 10 — Komitet Wyborczy Demokracja Bezpośrednia"</f>
        <v>Lista nr 10 — Komitet Wyborczy Demokracja Bezpośrednia</v>
      </c>
      <c r="EJ4" t="s">
        <v>3</v>
      </c>
      <c r="EK4" t="s">
        <v>3</v>
      </c>
      <c r="EL4" t="s">
        <v>3</v>
      </c>
      <c r="EM4" t="s">
        <v>3</v>
      </c>
      <c r="EN4" t="s">
        <v>3</v>
      </c>
      <c r="EO4" t="s">
        <v>3</v>
      </c>
      <c r="EP4" t="s">
        <v>3</v>
      </c>
      <c r="EQ4" t="s">
        <v>3</v>
      </c>
      <c r="ER4" t="s">
        <v>3</v>
      </c>
      <c r="ES4" t="str">
        <f>"Lista nr 11 — KW Samoobrona"</f>
        <v>Lista nr 11 — KW Samoobrona</v>
      </c>
      <c r="ET4" t="s">
        <v>3</v>
      </c>
      <c r="EU4" t="s">
        <v>3</v>
      </c>
      <c r="EV4" t="s">
        <v>3</v>
      </c>
      <c r="EW4" t="s">
        <v>3</v>
      </c>
      <c r="EX4" t="s">
        <v>3</v>
      </c>
      <c r="EY4" t="s">
        <v>3</v>
      </c>
      <c r="EZ4" t="s">
        <v>3</v>
      </c>
      <c r="FA4" t="s">
        <v>3</v>
      </c>
      <c r="FB4" t="s">
        <v>3</v>
      </c>
      <c r="FC4" t="s">
        <v>3</v>
      </c>
      <c r="FD4" t="s">
        <v>3</v>
      </c>
      <c r="FE4" t="str">
        <f>"Lista nr 12 — Komitet Wyborczy Partia Zieloni"</f>
        <v>Lista nr 12 — Komitet Wyborczy Partia Zieloni</v>
      </c>
      <c r="FF4" t="s">
        <v>3</v>
      </c>
      <c r="FG4" t="s">
        <v>3</v>
      </c>
      <c r="FH4" t="s">
        <v>3</v>
      </c>
      <c r="FI4" t="s">
        <v>3</v>
      </c>
      <c r="FJ4" t="s">
        <v>3</v>
      </c>
      <c r="FK4" t="s">
        <v>3</v>
      </c>
      <c r="FL4" t="s">
        <v>3</v>
      </c>
      <c r="FM4" t="s">
        <v>3</v>
      </c>
      <c r="FN4" t="s">
        <v>3</v>
      </c>
      <c r="FO4" t="s">
        <v>3</v>
      </c>
      <c r="FP4" t="s">
        <v>3</v>
      </c>
    </row>
    <row r="5" spans="1:172" ht="14.2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  <c r="W5" t="s">
        <v>26</v>
      </c>
      <c r="X5" t="s">
        <v>27</v>
      </c>
      <c r="Y5" t="s">
        <v>28</v>
      </c>
      <c r="Z5" t="s">
        <v>29</v>
      </c>
      <c r="AA5" t="s">
        <v>30</v>
      </c>
      <c r="AB5" t="s">
        <v>31</v>
      </c>
      <c r="AC5" t="s">
        <v>32</v>
      </c>
      <c r="AD5" t="s">
        <v>33</v>
      </c>
      <c r="AE5" t="s">
        <v>34</v>
      </c>
      <c r="AF5" t="str">
        <f>"WOŹNIAK Tadeusz Jacek"</f>
        <v>WOŹNIAK Tadeusz Jacek</v>
      </c>
      <c r="AG5" t="str">
        <f>"SOWIŃSKA Ewa Barbara"</f>
        <v>SOWIŃSKA Ewa Barbara</v>
      </c>
      <c r="AH5" t="str">
        <f>"MACIEJEWSKI Krzysztof"</f>
        <v>MACIEJEWSKI Krzysztof</v>
      </c>
      <c r="AI5" t="str">
        <f>"GENS Teresa Brygida"</f>
        <v>GENS Teresa Brygida</v>
      </c>
      <c r="AJ5" t="str">
        <f>"ROŻENEK Andrzej Franciszek"</f>
        <v>ROŻENEK Andrzej Franciszek</v>
      </c>
      <c r="AK5" t="str">
        <f>"KOCZUR Marian Józef"</f>
        <v>KOCZUR Marian Józef</v>
      </c>
      <c r="AL5" t="str">
        <f>"ŚWIĄTKOWSKA Paulina Anna"</f>
        <v>ŚWIĄTKOWSKA Paulina Anna</v>
      </c>
      <c r="AM5" t="str">
        <f>"SZYDŁOWSKI Adam Marian"</f>
        <v>SZYDŁOWSKI Adam Marian</v>
      </c>
      <c r="AN5" t="str">
        <f>"OWCZAREK Izabela Oliwia"</f>
        <v>OWCZAREK Izabela Oliwia</v>
      </c>
      <c r="AO5" t="str">
        <f>"SŁOWIŃSKI Michał Piotr"</f>
        <v>SŁOWIŃSKI Michał Piotr</v>
      </c>
      <c r="AP5" t="s">
        <v>35</v>
      </c>
      <c r="AQ5" t="s">
        <v>34</v>
      </c>
      <c r="AR5" t="str">
        <f>"MIGUS Maciej Stanisław"</f>
        <v>MIGUS Maciej Stanisław</v>
      </c>
      <c r="AS5" t="str">
        <f>"WALISZEWSKI Jan Nikodem"</f>
        <v>WALISZEWSKI Jan Nikodem</v>
      </c>
      <c r="AT5" t="str">
        <f>"ŻARNECKI Adrian Iwo"</f>
        <v>ŻARNECKI Adrian Iwo</v>
      </c>
      <c r="AU5" t="str">
        <f>"HEJNIAK Sebastian Patryk"</f>
        <v>HEJNIAK Sebastian Patryk</v>
      </c>
      <c r="AV5" t="str">
        <f>"BERNAT Patrycja"</f>
        <v>BERNAT Patrycja</v>
      </c>
      <c r="AW5" t="str">
        <f>"SZTEMBOROWSKI Grzegorz Zbigniew"</f>
        <v>SZTEMBOROWSKI Grzegorz Zbigniew</v>
      </c>
      <c r="AX5" t="str">
        <f>"MONETA Katarzyna Justyna"</f>
        <v>MONETA Katarzyna Justyna</v>
      </c>
      <c r="AY5" t="str">
        <f>"CHYBAŁA Karolina Marianna"</f>
        <v>CHYBAŁA Karolina Marianna</v>
      </c>
      <c r="AZ5" t="str">
        <f>"JABŁOŃSKI Wojciech"</f>
        <v>JABŁOŃSKI Wojciech</v>
      </c>
      <c r="BA5" t="str">
        <f>"NOWACKA Monika"</f>
        <v>NOWACKA Monika</v>
      </c>
      <c r="BB5" t="s">
        <v>35</v>
      </c>
      <c r="BC5" t="s">
        <v>34</v>
      </c>
      <c r="BD5" t="str">
        <f>"MARCZUK Weronika Olena"</f>
        <v>MARCZUK Weronika Olena</v>
      </c>
      <c r="BE5" t="str">
        <f>"MATUSZAK Grzegorz Jan"</f>
        <v>MATUSZAK Grzegorz Jan</v>
      </c>
      <c r="BF5" t="str">
        <f>"KRASIŃSKI Zbigniew Stanisław"</f>
        <v>KRASIŃSKI Zbigniew Stanisław</v>
      </c>
      <c r="BG5" t="str">
        <f>"BORZĘCKA Jolanta Maria"</f>
        <v>BORZĘCKA Jolanta Maria</v>
      </c>
      <c r="BH5" t="str">
        <f>"KARCZ Tadeusz"</f>
        <v>KARCZ Tadeusz</v>
      </c>
      <c r="BI5" t="str">
        <f>"DĘBSKA Anna Janina"</f>
        <v>DĘBSKA Anna Janina</v>
      </c>
      <c r="BJ5" t="str">
        <f>"ROZPARA Tadeusz"</f>
        <v>ROZPARA Tadeusz</v>
      </c>
      <c r="BK5" t="str">
        <f>"DZIEMDZIELA Paweł"</f>
        <v>DZIEMDZIELA Paweł</v>
      </c>
      <c r="BL5" t="str">
        <f>"WOJTCZAK Dorota Barbara"</f>
        <v>WOJTCZAK Dorota Barbara</v>
      </c>
      <c r="BM5" t="str">
        <f>"BĄKIEWICZ Michał Bogusław"</f>
        <v>BĄKIEWICZ Michał Bogusław</v>
      </c>
      <c r="BN5" t="s">
        <v>35</v>
      </c>
      <c r="BO5" t="s">
        <v>34</v>
      </c>
      <c r="BP5" t="str">
        <f>"WOJCIECHOWSKI Janusz Czesław"</f>
        <v>WOJCIECHOWSKI Janusz Czesław</v>
      </c>
      <c r="BQ5" t="str">
        <f>"KRUPA Urszula Irena"</f>
        <v>KRUPA Urszula Irena</v>
      </c>
      <c r="BR5" t="str">
        <f>"WASZCZYKOWSKI Witold Jan"</f>
        <v>WASZCZYKOWSKI Witold Jan</v>
      </c>
      <c r="BS5" t="str">
        <f>"POLAK Piotr Stanisław"</f>
        <v>POLAK Piotr Stanisław</v>
      </c>
      <c r="BT5" t="str">
        <f>"SZAŁKOWSKA-WEST Ewa Maria"</f>
        <v>SZAŁKOWSKA-WEST Ewa Maria</v>
      </c>
      <c r="BU5" t="str">
        <f>"TELUS Robert"</f>
        <v>TELUS Robert</v>
      </c>
      <c r="BV5" t="str">
        <f>"KOPERSKA Iwona Edyta"</f>
        <v>KOPERSKA Iwona Edyta</v>
      </c>
      <c r="BW5" t="str">
        <f>"GRABEK Anna Małgorzata"</f>
        <v>GRABEK Anna Małgorzata</v>
      </c>
      <c r="BX5" t="str">
        <f>"OLEJNIK Wiesława Helena"</f>
        <v>OLEJNIK Wiesława Helena</v>
      </c>
      <c r="BY5" t="str">
        <f>"MATUSZEWSKI Marek"</f>
        <v>MATUSZEWSKI Marek</v>
      </c>
      <c r="BZ5" t="s">
        <v>35</v>
      </c>
      <c r="CA5" t="s">
        <v>34</v>
      </c>
      <c r="CB5" t="str">
        <f>"WÓJCIAK-PLEYN Ewa Maria"</f>
        <v>WÓJCIAK-PLEYN Ewa Maria</v>
      </c>
      <c r="CC5" t="str">
        <f>"MAKOWSKI Krzysztof Michał"</f>
        <v>MAKOWSKI Krzysztof Michał</v>
      </c>
      <c r="CD5" t="str">
        <f>"ŁUCZAK Agnieszka Maria"</f>
        <v>ŁUCZAK Agnieszka Maria</v>
      </c>
      <c r="CE5" t="str">
        <f>"KRAWCZYK Michał"</f>
        <v>KRAWCZYK Michał</v>
      </c>
      <c r="CF5" t="str">
        <f>"GRYNIEWICZ Małgorzata Eleonora"</f>
        <v>GRYNIEWICZ Małgorzata Eleonora</v>
      </c>
      <c r="CG5" t="str">
        <f>"KOZAK Rafał Piotr"</f>
        <v>KOZAK Rafał Piotr</v>
      </c>
      <c r="CH5" t="str">
        <f>"DIDOWICZ Anna"</f>
        <v>DIDOWICZ Anna</v>
      </c>
      <c r="CI5" t="str">
        <f>"LEWANDOWSKI Marcin Paweł"</f>
        <v>LEWANDOWSKI Marcin Paweł</v>
      </c>
      <c r="CJ5" t="str">
        <f>"WYPYCH Ewelina"</f>
        <v>WYPYCH Ewelina</v>
      </c>
      <c r="CK5" t="str">
        <f>"PACHOLSKI Michał Tomasz"</f>
        <v>PACHOLSKI Michał Tomasz</v>
      </c>
      <c r="CL5" t="s">
        <v>35</v>
      </c>
      <c r="CM5" t="s">
        <v>34</v>
      </c>
      <c r="CN5" t="str">
        <f>"GODSON John Abraham"</f>
        <v>GODSON John Abraham</v>
      </c>
      <c r="CO5" t="str">
        <f>"NOWAK Małgorzata Eugenia"</f>
        <v>NOWAK Małgorzata Eugenia</v>
      </c>
      <c r="CP5" t="str">
        <f>"WARZECHA Jarosław Jerzy"</f>
        <v>WARZECHA Jarosław Jerzy</v>
      </c>
      <c r="CQ5" t="str">
        <f>"WALCZAK Joanna Izabela"</f>
        <v>WALCZAK Joanna Izabela</v>
      </c>
      <c r="CR5" t="str">
        <f>"ARKUSZ Radosław Michał"</f>
        <v>ARKUSZ Radosław Michał</v>
      </c>
      <c r="CS5" t="str">
        <f>"BORKOWSKI Bartosz Mieczysław"</f>
        <v>BORKOWSKI Bartosz Mieczysław</v>
      </c>
      <c r="CT5" t="str">
        <f>"BŁOŃSKA-SUK Marzena Małgorzata"</f>
        <v>BŁOŃSKA-SUK Marzena Małgorzata</v>
      </c>
      <c r="CU5" t="str">
        <f>"STEFANEK Mirosław Wojciech"</f>
        <v>STEFANEK Mirosław Wojciech</v>
      </c>
      <c r="CV5" t="str">
        <f>"KUPIS-URBANIAK Mirosława"</f>
        <v>KUPIS-URBANIAK Mirosława</v>
      </c>
      <c r="CW5" t="str">
        <f>"GAWRON Jakub Mateusz"</f>
        <v>GAWRON Jakub Mateusz</v>
      </c>
      <c r="CX5" t="s">
        <v>35</v>
      </c>
      <c r="CY5" t="s">
        <v>34</v>
      </c>
      <c r="CZ5" t="str">
        <f>"WOCH Adam"</f>
        <v>WOCH Adam</v>
      </c>
      <c r="DA5" t="str">
        <f>"BUDZISZ Emilia Małgorzata"</f>
        <v>BUDZISZ Emilia Małgorzata</v>
      </c>
      <c r="DB5" t="str">
        <f>"MALKA Andrzej Roman"</f>
        <v>MALKA Andrzej Roman</v>
      </c>
      <c r="DC5" t="str">
        <f>"SŁOTA Tomasz Andrzej"</f>
        <v>SŁOTA Tomasz Andrzej</v>
      </c>
      <c r="DD5" t="str">
        <f>"UTECHT Greta"</f>
        <v>UTECHT Greta</v>
      </c>
      <c r="DE5" t="str">
        <f>"LIPCZYK Zbigniew Jerzy"</f>
        <v>LIPCZYK Zbigniew Jerzy</v>
      </c>
      <c r="DF5" t="str">
        <f>"DOBIESZ Alicja Maria"</f>
        <v>DOBIESZ Alicja Maria</v>
      </c>
      <c r="DG5" t="str">
        <f>"ZIELIŃSKI Konrad Aleksander"</f>
        <v>ZIELIŃSKI Konrad Aleksander</v>
      </c>
      <c r="DH5" t="str">
        <f>"PAWŁOWSKA Iga Aleksandra"</f>
        <v>PAWŁOWSKA Iga Aleksandra</v>
      </c>
      <c r="DI5" t="str">
        <f>"SYGA Artur Jerzy"</f>
        <v>SYGA Artur Jerzy</v>
      </c>
      <c r="DJ5" t="s">
        <v>35</v>
      </c>
      <c r="DK5" t="s">
        <v>34</v>
      </c>
      <c r="DL5" t="str">
        <f>"SARYUSZ-WOLSKI Jacek Emil"</f>
        <v>SARYUSZ-WOLSKI Jacek Emil</v>
      </c>
      <c r="DM5" t="str">
        <f>"SKRZYDLEWSKA Joanna Katarzyna"</f>
        <v>SKRZYDLEWSKA Joanna Katarzyna</v>
      </c>
      <c r="DN5" t="str">
        <f>"MALARECKI Krzysztof Bogusław"</f>
        <v>MALARECKI Krzysztof Bogusław</v>
      </c>
      <c r="DO5" t="str">
        <f>"RYL Dorota Helena"</f>
        <v>RYL Dorota Helena</v>
      </c>
      <c r="DP5" t="str">
        <f>"GAJEWSKI Arkadiusz Paweł"</f>
        <v>GAJEWSKI Arkadiusz Paweł</v>
      </c>
      <c r="DQ5" t="str">
        <f>"RABIEGA Anna Barbara"</f>
        <v>RABIEGA Anna Barbara</v>
      </c>
      <c r="DR5" t="str">
        <f>"ZATORSKI Jacek Andrzej"</f>
        <v>ZATORSKI Jacek Andrzej</v>
      </c>
      <c r="DS5" t="str">
        <f>"PIETRZAK Teresa Wiesława"</f>
        <v>PIETRZAK Teresa Wiesława</v>
      </c>
      <c r="DT5" t="str">
        <f>"ZIEMNIEWICZ Bożena Maria"</f>
        <v>ZIEMNIEWICZ Bożena Maria</v>
      </c>
      <c r="DU5" t="str">
        <f>"BONISŁAWSKI Ryszard Wiesław"</f>
        <v>BONISŁAWSKI Ryszard Wiesław</v>
      </c>
      <c r="DV5" t="s">
        <v>35</v>
      </c>
      <c r="DW5" t="s">
        <v>34</v>
      </c>
      <c r="DX5" t="str">
        <f>"ŁUCZAK Mieczysław Marcin"</f>
        <v>ŁUCZAK Mieczysław Marcin</v>
      </c>
      <c r="DY5" t="str">
        <f>"OZGA Krystyna Ewa"</f>
        <v>OZGA Krystyna Ewa</v>
      </c>
      <c r="DZ5" t="str">
        <f>"TELATYCKI Czesław Krzysztof"</f>
        <v>TELATYCKI Czesław Krzysztof</v>
      </c>
      <c r="EA5" t="str">
        <f>"BEJDA Paweł Jan"</f>
        <v>BEJDA Paweł Jan</v>
      </c>
      <c r="EB5" t="str">
        <f>"MAZUR Marek Marian"</f>
        <v>MAZUR Marek Marian</v>
      </c>
      <c r="EC5" t="str">
        <f>"KLIMCZAK Dariusz"</f>
        <v>KLIMCZAK Dariusz</v>
      </c>
      <c r="ED5" t="str">
        <f>"NAWROCKA Elżbieta Renata"</f>
        <v>NAWROCKA Elżbieta Renata</v>
      </c>
      <c r="EE5" t="str">
        <f>"KACZOROWSKA Maria"</f>
        <v>KACZOROWSKA Maria</v>
      </c>
      <c r="EF5" t="str">
        <f>"GABRYELCZAK Małgorzata"</f>
        <v>GABRYELCZAK Małgorzata</v>
      </c>
      <c r="EG5" t="str">
        <f>"BAGIEŃSKI Artur Jan"</f>
        <v>BAGIEŃSKI Artur Jan</v>
      </c>
      <c r="EH5" t="s">
        <v>35</v>
      </c>
      <c r="EI5" t="s">
        <v>34</v>
      </c>
      <c r="EJ5" t="str">
        <f>"SŁOWIŃSKI Tomasz Michał"</f>
        <v>SŁOWIŃSKI Tomasz Michał</v>
      </c>
      <c r="EK5" t="str">
        <f>"KWAŚNIEWSKI Aleksander"</f>
        <v>KWAŚNIEWSKI Aleksander</v>
      </c>
      <c r="EL5" t="str">
        <f>"DYDYCZ Michał Karol"</f>
        <v>DYDYCZ Michał Karol</v>
      </c>
      <c r="EM5" t="str">
        <f>"KOLBUSZ Paulina Diana"</f>
        <v>KOLBUSZ Paulina Diana</v>
      </c>
      <c r="EN5" t="str">
        <f>"ROSZATYCKI Piotr Kamil"</f>
        <v>ROSZATYCKI Piotr Kamil</v>
      </c>
      <c r="EO5" t="str">
        <f>"KAMIŃSKA Magdalena Maria"</f>
        <v>KAMIŃSKA Magdalena Maria</v>
      </c>
      <c r="EP5" t="str">
        <f>"SZEWCZYK Kinga"</f>
        <v>SZEWCZYK Kinga</v>
      </c>
      <c r="EQ5" t="str">
        <f>"JAROS-KAMIŃSKA Barbara"</f>
        <v>JAROS-KAMIŃSKA Barbara</v>
      </c>
      <c r="ER5" t="s">
        <v>35</v>
      </c>
      <c r="ES5" t="s">
        <v>34</v>
      </c>
      <c r="ET5" t="str">
        <f>"URBANIAK Andrzej"</f>
        <v>URBANIAK Andrzej</v>
      </c>
      <c r="EU5" t="str">
        <f>"SOBCZYK Michał"</f>
        <v>SOBCZYK Michał</v>
      </c>
      <c r="EV5" t="str">
        <f>"ANDRYSIAK Grzegorz Witold"</f>
        <v>ANDRYSIAK Grzegorz Witold</v>
      </c>
      <c r="EW5" t="str">
        <f>"MARCINKOWSKA-ADAMIAK Henryka Janina"</f>
        <v>MARCINKOWSKA-ADAMIAK Henryka Janina</v>
      </c>
      <c r="EX5" t="str">
        <f>"SŁOWAKIEWICZ Sebastian Stanisław"</f>
        <v>SŁOWAKIEWICZ Sebastian Stanisław</v>
      </c>
      <c r="EY5" t="str">
        <f>"WOŹNIAKOWSKA Grażyna"</f>
        <v>WOŹNIAKOWSKA Grażyna</v>
      </c>
      <c r="EZ5" t="str">
        <f>"HERBRICH Ryszard Walenty"</f>
        <v>HERBRICH Ryszard Walenty</v>
      </c>
      <c r="FA5" t="str">
        <f>"PIOTROWSKA Małgorzata Ewa"</f>
        <v>PIOTROWSKA Małgorzata Ewa</v>
      </c>
      <c r="FB5" t="str">
        <f>"PIETRZYKOWSKA Maria Helena"</f>
        <v>PIETRZYKOWSKA Maria Helena</v>
      </c>
      <c r="FC5" t="str">
        <f>"MAJKOWSKI Bronisław Mirosław"</f>
        <v>MAJKOWSKI Bronisław Mirosław</v>
      </c>
      <c r="FD5" t="s">
        <v>35</v>
      </c>
      <c r="FE5" t="s">
        <v>34</v>
      </c>
      <c r="FF5" t="str">
        <f>"MIRYS Mateusz Piotr"</f>
        <v>MIRYS Mateusz Piotr</v>
      </c>
      <c r="FG5" t="str">
        <f>"DESPERAK Izabela Barbara"</f>
        <v>DESPERAK Izabela Barbara</v>
      </c>
      <c r="FH5" t="str">
        <f>"HAJNCEL Paweł Wojciech"</f>
        <v>HAJNCEL Paweł Wojciech</v>
      </c>
      <c r="FI5" t="str">
        <f>"MUSIELAK Karolina Jolanta"</f>
        <v>MUSIELAK Karolina Jolanta</v>
      </c>
      <c r="FJ5" t="str">
        <f>"MARZEC Waldemar"</f>
        <v>MARZEC Waldemar</v>
      </c>
      <c r="FK5" t="str">
        <f>"GROBLEWSKA-DURAJSKA Bogusława Maria"</f>
        <v>GROBLEWSKA-DURAJSKA Bogusława Maria</v>
      </c>
      <c r="FL5" t="str">
        <f>"DOBROWOLSKI Dawid"</f>
        <v>DOBROWOLSKI Dawid</v>
      </c>
      <c r="FM5" t="str">
        <f>"KRYSIAK Wioleta Magdalena"</f>
        <v>KRYSIAK Wioleta Magdalena</v>
      </c>
      <c r="FN5" t="str">
        <f>"ORZECHOWSKI Tomasz"</f>
        <v>ORZECHOWSKI Tomasz</v>
      </c>
      <c r="FO5" t="str">
        <f>"ADAMSKA Teresa Maria"</f>
        <v>ADAMSKA Teresa Maria</v>
      </c>
      <c r="FP5" t="s">
        <v>35</v>
      </c>
    </row>
    <row r="6" spans="1:172" ht="14.25">
      <c r="A6">
        <v>1</v>
      </c>
      <c r="B6" t="str">
        <f>"100301"</f>
        <v>100301</v>
      </c>
      <c r="C6" t="str">
        <f>"Buczek"</f>
        <v>Buczek</v>
      </c>
      <c r="D6" t="str">
        <f aca="true" t="shared" si="0" ref="D6:D46">"łaski"</f>
        <v>łaski</v>
      </c>
      <c r="E6" t="str">
        <f aca="true" t="shared" si="1" ref="E6:E69">"łódzkie"</f>
        <v>łódzkie</v>
      </c>
      <c r="F6">
        <v>1</v>
      </c>
      <c r="G6" t="str">
        <f>"Zespół Szkoły Podstawowej i Gimnazjum Publicznego, Szkolna 3, 98-113 Buczek"</f>
        <v>Zespół Szkoły Podstawowej i Gimnazjum Publicznego, Szkolna 3, 98-113 Buczek</v>
      </c>
      <c r="H6">
        <v>1922</v>
      </c>
      <c r="I6">
        <v>1922</v>
      </c>
      <c r="J6">
        <v>0</v>
      </c>
      <c r="K6">
        <v>1350</v>
      </c>
      <c r="L6">
        <v>1003</v>
      </c>
      <c r="M6">
        <v>347</v>
      </c>
      <c r="N6">
        <v>347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347</v>
      </c>
      <c r="Z6">
        <v>0</v>
      </c>
      <c r="AA6">
        <v>0</v>
      </c>
      <c r="AB6">
        <v>347</v>
      </c>
      <c r="AC6">
        <v>9</v>
      </c>
      <c r="AD6">
        <v>338</v>
      </c>
      <c r="AE6">
        <v>6</v>
      </c>
      <c r="AF6">
        <v>3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1</v>
      </c>
      <c r="AP6">
        <v>6</v>
      </c>
      <c r="AQ6">
        <v>3</v>
      </c>
      <c r="AR6">
        <v>1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3</v>
      </c>
      <c r="BC6">
        <v>12</v>
      </c>
      <c r="BD6">
        <v>4</v>
      </c>
      <c r="BE6">
        <v>3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4</v>
      </c>
      <c r="BN6">
        <v>12</v>
      </c>
      <c r="BO6">
        <v>147</v>
      </c>
      <c r="BP6">
        <v>112</v>
      </c>
      <c r="BQ6">
        <v>9</v>
      </c>
      <c r="BR6">
        <v>2</v>
      </c>
      <c r="BS6">
        <v>13</v>
      </c>
      <c r="BT6">
        <v>0</v>
      </c>
      <c r="BU6">
        <v>1</v>
      </c>
      <c r="BV6">
        <v>3</v>
      </c>
      <c r="BW6">
        <v>1</v>
      </c>
      <c r="BX6">
        <v>0</v>
      </c>
      <c r="BY6">
        <v>6</v>
      </c>
      <c r="BZ6">
        <v>147</v>
      </c>
      <c r="CA6">
        <v>9</v>
      </c>
      <c r="CB6">
        <v>3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1</v>
      </c>
      <c r="CJ6">
        <v>3</v>
      </c>
      <c r="CK6">
        <v>1</v>
      </c>
      <c r="CL6">
        <v>9</v>
      </c>
      <c r="CM6">
        <v>7</v>
      </c>
      <c r="CN6">
        <v>3</v>
      </c>
      <c r="CO6">
        <v>0</v>
      </c>
      <c r="CP6">
        <v>0</v>
      </c>
      <c r="CQ6">
        <v>0</v>
      </c>
      <c r="CR6">
        <v>0</v>
      </c>
      <c r="CS6">
        <v>1</v>
      </c>
      <c r="CT6">
        <v>3</v>
      </c>
      <c r="CU6">
        <v>0</v>
      </c>
      <c r="CV6">
        <v>0</v>
      </c>
      <c r="CW6">
        <v>0</v>
      </c>
      <c r="CX6">
        <v>7</v>
      </c>
      <c r="CY6">
        <v>19</v>
      </c>
      <c r="CZ6">
        <v>12</v>
      </c>
      <c r="DA6">
        <v>1</v>
      </c>
      <c r="DB6">
        <v>1</v>
      </c>
      <c r="DC6">
        <v>1</v>
      </c>
      <c r="DD6">
        <v>0</v>
      </c>
      <c r="DE6">
        <v>0</v>
      </c>
      <c r="DF6">
        <v>1</v>
      </c>
      <c r="DG6">
        <v>1</v>
      </c>
      <c r="DH6">
        <v>1</v>
      </c>
      <c r="DI6">
        <v>1</v>
      </c>
      <c r="DJ6">
        <v>19</v>
      </c>
      <c r="DK6">
        <v>54</v>
      </c>
      <c r="DL6">
        <v>34</v>
      </c>
      <c r="DM6">
        <v>8</v>
      </c>
      <c r="DN6">
        <v>0</v>
      </c>
      <c r="DO6">
        <v>1</v>
      </c>
      <c r="DP6">
        <v>2</v>
      </c>
      <c r="DQ6">
        <v>1</v>
      </c>
      <c r="DR6">
        <v>5</v>
      </c>
      <c r="DS6">
        <v>0</v>
      </c>
      <c r="DT6">
        <v>0</v>
      </c>
      <c r="DU6">
        <v>3</v>
      </c>
      <c r="DV6">
        <v>54</v>
      </c>
      <c r="DW6">
        <v>76</v>
      </c>
      <c r="DX6">
        <v>15</v>
      </c>
      <c r="DY6">
        <v>1</v>
      </c>
      <c r="DZ6">
        <v>0</v>
      </c>
      <c r="EA6">
        <v>7</v>
      </c>
      <c r="EB6">
        <v>1</v>
      </c>
      <c r="EC6">
        <v>13</v>
      </c>
      <c r="ED6">
        <v>1</v>
      </c>
      <c r="EE6">
        <v>37</v>
      </c>
      <c r="EF6">
        <v>1</v>
      </c>
      <c r="EG6">
        <v>0</v>
      </c>
      <c r="EH6">
        <v>76</v>
      </c>
      <c r="EI6">
        <v>4</v>
      </c>
      <c r="EJ6">
        <v>1</v>
      </c>
      <c r="EK6">
        <v>3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1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1</v>
      </c>
      <c r="FN6">
        <v>0</v>
      </c>
      <c r="FO6">
        <v>0</v>
      </c>
      <c r="FP6">
        <v>1</v>
      </c>
    </row>
    <row r="7" spans="1:172" ht="14.25">
      <c r="A7">
        <v>2</v>
      </c>
      <c r="B7" t="str">
        <f>"100301"</f>
        <v>100301</v>
      </c>
      <c r="C7" t="str">
        <f>"Buczek"</f>
        <v>Buczek</v>
      </c>
      <c r="D7" t="str">
        <f t="shared" si="0"/>
        <v>łaski</v>
      </c>
      <c r="E7" t="str">
        <f t="shared" si="1"/>
        <v>łódzkie</v>
      </c>
      <c r="F7">
        <v>2</v>
      </c>
      <c r="G7" t="str">
        <f>"Budynek OSP, Brodnia Górna 45, 98-113 Buczek"</f>
        <v>Budynek OSP, Brodnia Górna 45, 98-113 Buczek</v>
      </c>
      <c r="H7">
        <v>556</v>
      </c>
      <c r="I7">
        <v>556</v>
      </c>
      <c r="J7">
        <v>0</v>
      </c>
      <c r="K7">
        <v>390</v>
      </c>
      <c r="L7">
        <v>314</v>
      </c>
      <c r="M7">
        <v>76</v>
      </c>
      <c r="N7">
        <v>76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76</v>
      </c>
      <c r="Z7">
        <v>0</v>
      </c>
      <c r="AA7">
        <v>0</v>
      </c>
      <c r="AB7">
        <v>76</v>
      </c>
      <c r="AC7">
        <v>1</v>
      </c>
      <c r="AD7">
        <v>75</v>
      </c>
      <c r="AE7">
        <v>2</v>
      </c>
      <c r="AF7">
        <v>1</v>
      </c>
      <c r="AG7">
        <v>0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2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5</v>
      </c>
      <c r="BD7">
        <v>3</v>
      </c>
      <c r="BE7">
        <v>1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5</v>
      </c>
      <c r="BO7">
        <v>38</v>
      </c>
      <c r="BP7">
        <v>26</v>
      </c>
      <c r="BQ7">
        <v>0</v>
      </c>
      <c r="BR7">
        <v>0</v>
      </c>
      <c r="BS7">
        <v>5</v>
      </c>
      <c r="BT7">
        <v>0</v>
      </c>
      <c r="BU7">
        <v>2</v>
      </c>
      <c r="BV7">
        <v>3</v>
      </c>
      <c r="BW7">
        <v>0</v>
      </c>
      <c r="BX7">
        <v>0</v>
      </c>
      <c r="BY7">
        <v>2</v>
      </c>
      <c r="BZ7">
        <v>38</v>
      </c>
      <c r="CA7">
        <v>2</v>
      </c>
      <c r="CB7">
        <v>2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2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2</v>
      </c>
      <c r="CZ7">
        <v>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1</v>
      </c>
      <c r="DI7">
        <v>0</v>
      </c>
      <c r="DJ7">
        <v>2</v>
      </c>
      <c r="DK7">
        <v>11</v>
      </c>
      <c r="DL7">
        <v>5</v>
      </c>
      <c r="DM7">
        <v>1</v>
      </c>
      <c r="DN7">
        <v>0</v>
      </c>
      <c r="DO7">
        <v>1</v>
      </c>
      <c r="DP7">
        <v>0</v>
      </c>
      <c r="DQ7">
        <v>0</v>
      </c>
      <c r="DR7">
        <v>0</v>
      </c>
      <c r="DS7">
        <v>1</v>
      </c>
      <c r="DT7">
        <v>1</v>
      </c>
      <c r="DU7">
        <v>2</v>
      </c>
      <c r="DV7">
        <v>11</v>
      </c>
      <c r="DW7">
        <v>10</v>
      </c>
      <c r="DX7">
        <v>3</v>
      </c>
      <c r="DY7">
        <v>0</v>
      </c>
      <c r="DZ7">
        <v>1</v>
      </c>
      <c r="EA7">
        <v>0</v>
      </c>
      <c r="EB7">
        <v>1</v>
      </c>
      <c r="EC7">
        <v>1</v>
      </c>
      <c r="ED7">
        <v>0</v>
      </c>
      <c r="EE7">
        <v>3</v>
      </c>
      <c r="EF7">
        <v>0</v>
      </c>
      <c r="EG7">
        <v>1</v>
      </c>
      <c r="EH7">
        <v>10</v>
      </c>
      <c r="EI7">
        <v>1</v>
      </c>
      <c r="EJ7">
        <v>0</v>
      </c>
      <c r="EK7">
        <v>1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1</v>
      </c>
      <c r="ES7">
        <v>1</v>
      </c>
      <c r="ET7">
        <v>0</v>
      </c>
      <c r="EU7">
        <v>1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1</v>
      </c>
      <c r="FE7">
        <v>3</v>
      </c>
      <c r="FF7">
        <v>3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3</v>
      </c>
    </row>
    <row r="8" spans="1:172" ht="14.25">
      <c r="A8">
        <v>3</v>
      </c>
      <c r="B8" t="str">
        <f>"100301"</f>
        <v>100301</v>
      </c>
      <c r="C8" t="str">
        <f>"Buczek"</f>
        <v>Buczek</v>
      </c>
      <c r="D8" t="str">
        <f t="shared" si="0"/>
        <v>łaski</v>
      </c>
      <c r="E8" t="str">
        <f t="shared" si="1"/>
        <v>łódzkie</v>
      </c>
      <c r="F8">
        <v>3</v>
      </c>
      <c r="G8" t="str">
        <f>"Szkoła Filialna, Czestków B 10c, 98-113 Buczek"</f>
        <v>Szkoła Filialna, Czestków B 10c, 98-113 Buczek</v>
      </c>
      <c r="H8">
        <v>660</v>
      </c>
      <c r="I8">
        <v>660</v>
      </c>
      <c r="J8">
        <v>0</v>
      </c>
      <c r="K8">
        <v>460</v>
      </c>
      <c r="L8">
        <v>350</v>
      </c>
      <c r="M8">
        <v>110</v>
      </c>
      <c r="N8">
        <v>110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110</v>
      </c>
      <c r="Z8">
        <v>0</v>
      </c>
      <c r="AA8">
        <v>0</v>
      </c>
      <c r="AB8">
        <v>110</v>
      </c>
      <c r="AC8">
        <v>3</v>
      </c>
      <c r="AD8">
        <v>107</v>
      </c>
      <c r="AE8">
        <v>2</v>
      </c>
      <c r="AF8">
        <v>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7</v>
      </c>
      <c r="BD8">
        <v>4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7</v>
      </c>
      <c r="BO8">
        <v>53</v>
      </c>
      <c r="BP8">
        <v>48</v>
      </c>
      <c r="BQ8">
        <v>0</v>
      </c>
      <c r="BR8">
        <v>0</v>
      </c>
      <c r="BS8">
        <v>3</v>
      </c>
      <c r="BT8">
        <v>0</v>
      </c>
      <c r="BU8">
        <v>1</v>
      </c>
      <c r="BV8">
        <v>0</v>
      </c>
      <c r="BW8">
        <v>0</v>
      </c>
      <c r="BX8">
        <v>1</v>
      </c>
      <c r="BY8">
        <v>0</v>
      </c>
      <c r="BZ8">
        <v>53</v>
      </c>
      <c r="CA8">
        <v>3</v>
      </c>
      <c r="CB8">
        <v>1</v>
      </c>
      <c r="CC8">
        <v>1</v>
      </c>
      <c r="CD8">
        <v>0</v>
      </c>
      <c r="CE8">
        <v>0</v>
      </c>
      <c r="CF8">
        <v>0</v>
      </c>
      <c r="CG8">
        <v>0</v>
      </c>
      <c r="CH8">
        <v>0</v>
      </c>
      <c r="CI8">
        <v>1</v>
      </c>
      <c r="CJ8">
        <v>0</v>
      </c>
      <c r="CK8">
        <v>0</v>
      </c>
      <c r="CL8">
        <v>3</v>
      </c>
      <c r="CM8">
        <v>2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2</v>
      </c>
      <c r="CU8">
        <v>0</v>
      </c>
      <c r="CV8">
        <v>0</v>
      </c>
      <c r="CW8">
        <v>0</v>
      </c>
      <c r="CX8">
        <v>2</v>
      </c>
      <c r="CY8">
        <v>10</v>
      </c>
      <c r="CZ8">
        <v>7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2</v>
      </c>
      <c r="DH8">
        <v>0</v>
      </c>
      <c r="DI8">
        <v>1</v>
      </c>
      <c r="DJ8">
        <v>10</v>
      </c>
      <c r="DK8">
        <v>17</v>
      </c>
      <c r="DL8">
        <v>11</v>
      </c>
      <c r="DM8">
        <v>2</v>
      </c>
      <c r="DN8">
        <v>0</v>
      </c>
      <c r="DO8">
        <v>1</v>
      </c>
      <c r="DP8">
        <v>0</v>
      </c>
      <c r="DQ8">
        <v>1</v>
      </c>
      <c r="DR8">
        <v>0</v>
      </c>
      <c r="DS8">
        <v>1</v>
      </c>
      <c r="DT8">
        <v>0</v>
      </c>
      <c r="DU8">
        <v>1</v>
      </c>
      <c r="DV8">
        <v>17</v>
      </c>
      <c r="DW8">
        <v>10</v>
      </c>
      <c r="DX8">
        <v>0</v>
      </c>
      <c r="DY8">
        <v>0</v>
      </c>
      <c r="DZ8">
        <v>0</v>
      </c>
      <c r="EA8">
        <v>0</v>
      </c>
      <c r="EB8">
        <v>0</v>
      </c>
      <c r="EC8">
        <v>2</v>
      </c>
      <c r="ED8">
        <v>1</v>
      </c>
      <c r="EE8">
        <v>7</v>
      </c>
      <c r="EF8">
        <v>0</v>
      </c>
      <c r="EG8">
        <v>0</v>
      </c>
      <c r="EH8">
        <v>10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1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1</v>
      </c>
      <c r="FC8">
        <v>0</v>
      </c>
      <c r="FD8">
        <v>1</v>
      </c>
      <c r="FE8">
        <v>2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1</v>
      </c>
      <c r="FO8">
        <v>1</v>
      </c>
      <c r="FP8">
        <v>2</v>
      </c>
    </row>
    <row r="9" spans="1:172" ht="14.25">
      <c r="A9">
        <v>4</v>
      </c>
      <c r="B9" t="str">
        <f>"100301"</f>
        <v>100301</v>
      </c>
      <c r="C9" t="str">
        <f>"Buczek"</f>
        <v>Buczek</v>
      </c>
      <c r="D9" t="str">
        <f t="shared" si="0"/>
        <v>łaski</v>
      </c>
      <c r="E9" t="str">
        <f t="shared" si="1"/>
        <v>łódzkie</v>
      </c>
      <c r="F9">
        <v>4</v>
      </c>
      <c r="G9" t="str">
        <f>"Szkoła Podstawowa, Malenia 1, 98-113 Buczek"</f>
        <v>Szkoła Podstawowa, Malenia 1, 98-113 Buczek</v>
      </c>
      <c r="H9">
        <v>451</v>
      </c>
      <c r="I9">
        <v>451</v>
      </c>
      <c r="J9">
        <v>0</v>
      </c>
      <c r="K9">
        <v>320</v>
      </c>
      <c r="L9">
        <v>228</v>
      </c>
      <c r="M9">
        <v>92</v>
      </c>
      <c r="N9">
        <v>92</v>
      </c>
      <c r="O9">
        <v>0</v>
      </c>
      <c r="P9">
        <v>0</v>
      </c>
      <c r="Q9">
        <v>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92</v>
      </c>
      <c r="Z9">
        <v>0</v>
      </c>
      <c r="AA9">
        <v>0</v>
      </c>
      <c r="AB9">
        <v>92</v>
      </c>
      <c r="AC9">
        <v>4</v>
      </c>
      <c r="AD9">
        <v>88</v>
      </c>
      <c r="AE9">
        <v>5</v>
      </c>
      <c r="AF9">
        <v>4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5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</v>
      </c>
      <c r="BO9">
        <v>58</v>
      </c>
      <c r="BP9">
        <v>52</v>
      </c>
      <c r="BQ9">
        <v>1</v>
      </c>
      <c r="BR9">
        <v>1</v>
      </c>
      <c r="BS9">
        <v>4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58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5</v>
      </c>
      <c r="CN9">
        <v>1</v>
      </c>
      <c r="CO9">
        <v>0</v>
      </c>
      <c r="CP9">
        <v>0</v>
      </c>
      <c r="CQ9">
        <v>0</v>
      </c>
      <c r="CR9">
        <v>0</v>
      </c>
      <c r="CS9">
        <v>0</v>
      </c>
      <c r="CT9">
        <v>4</v>
      </c>
      <c r="CU9">
        <v>0</v>
      </c>
      <c r="CV9">
        <v>0</v>
      </c>
      <c r="CW9">
        <v>0</v>
      </c>
      <c r="CX9">
        <v>5</v>
      </c>
      <c r="CY9">
        <v>2</v>
      </c>
      <c r="CZ9">
        <v>1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2</v>
      </c>
      <c r="DK9">
        <v>5</v>
      </c>
      <c r="DL9">
        <v>0</v>
      </c>
      <c r="DM9">
        <v>2</v>
      </c>
      <c r="DN9">
        <v>1</v>
      </c>
      <c r="DO9">
        <v>2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5</v>
      </c>
      <c r="DW9">
        <v>10</v>
      </c>
      <c r="DX9">
        <v>2</v>
      </c>
      <c r="DY9">
        <v>0</v>
      </c>
      <c r="DZ9">
        <v>0</v>
      </c>
      <c r="EA9">
        <v>0</v>
      </c>
      <c r="EB9">
        <v>0</v>
      </c>
      <c r="EC9">
        <v>5</v>
      </c>
      <c r="ED9">
        <v>0</v>
      </c>
      <c r="EE9">
        <v>3</v>
      </c>
      <c r="EF9">
        <v>0</v>
      </c>
      <c r="EG9">
        <v>0</v>
      </c>
      <c r="EH9">
        <v>10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2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2</v>
      </c>
      <c r="FB9">
        <v>0</v>
      </c>
      <c r="FC9">
        <v>0</v>
      </c>
      <c r="FD9">
        <v>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</row>
    <row r="10" spans="1:172" ht="14.25">
      <c r="A10">
        <v>5</v>
      </c>
      <c r="B10" t="str">
        <f>"100301"</f>
        <v>100301</v>
      </c>
      <c r="C10" t="str">
        <f>"Buczek"</f>
        <v>Buczek</v>
      </c>
      <c r="D10" t="str">
        <f t="shared" si="0"/>
        <v>łaski</v>
      </c>
      <c r="E10" t="str">
        <f t="shared" si="1"/>
        <v>łódzkie</v>
      </c>
      <c r="F10">
        <v>5</v>
      </c>
      <c r="G10" t="str">
        <f>"Budynek OSP, Luciejów 50a, 98-113 Buczek"</f>
        <v>Budynek OSP, Luciejów 50a, 98-113 Buczek</v>
      </c>
      <c r="H10">
        <v>477</v>
      </c>
      <c r="I10">
        <v>477</v>
      </c>
      <c r="J10">
        <v>0</v>
      </c>
      <c r="K10">
        <v>330</v>
      </c>
      <c r="L10">
        <v>245</v>
      </c>
      <c r="M10">
        <v>85</v>
      </c>
      <c r="N10">
        <v>85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85</v>
      </c>
      <c r="Z10">
        <v>0</v>
      </c>
      <c r="AA10">
        <v>0</v>
      </c>
      <c r="AB10">
        <v>85</v>
      </c>
      <c r="AC10">
        <v>2</v>
      </c>
      <c r="AD10">
        <v>83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28</v>
      </c>
      <c r="BP10">
        <v>23</v>
      </c>
      <c r="BQ10">
        <v>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</v>
      </c>
      <c r="BY10">
        <v>2</v>
      </c>
      <c r="BZ10">
        <v>28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2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1</v>
      </c>
      <c r="CV10">
        <v>0</v>
      </c>
      <c r="CW10">
        <v>0</v>
      </c>
      <c r="CX10">
        <v>2</v>
      </c>
      <c r="CY10">
        <v>8</v>
      </c>
      <c r="CZ10">
        <v>2</v>
      </c>
      <c r="DA10">
        <v>2</v>
      </c>
      <c r="DB10">
        <v>1</v>
      </c>
      <c r="DC10">
        <v>0</v>
      </c>
      <c r="DD10">
        <v>1</v>
      </c>
      <c r="DE10">
        <v>1</v>
      </c>
      <c r="DF10">
        <v>1</v>
      </c>
      <c r="DG10">
        <v>0</v>
      </c>
      <c r="DH10">
        <v>0</v>
      </c>
      <c r="DI10">
        <v>0</v>
      </c>
      <c r="DJ10">
        <v>8</v>
      </c>
      <c r="DK10">
        <v>14</v>
      </c>
      <c r="DL10">
        <v>12</v>
      </c>
      <c r="DM10">
        <v>2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14</v>
      </c>
      <c r="DW10">
        <v>24</v>
      </c>
      <c r="DX10">
        <v>2</v>
      </c>
      <c r="DY10">
        <v>2</v>
      </c>
      <c r="DZ10">
        <v>0</v>
      </c>
      <c r="EA10">
        <v>0</v>
      </c>
      <c r="EB10">
        <v>0</v>
      </c>
      <c r="EC10">
        <v>2</v>
      </c>
      <c r="ED10">
        <v>0</v>
      </c>
      <c r="EE10">
        <v>17</v>
      </c>
      <c r="EF10">
        <v>0</v>
      </c>
      <c r="EG10">
        <v>1</v>
      </c>
      <c r="EH10">
        <v>24</v>
      </c>
      <c r="EI10">
        <v>3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1</v>
      </c>
      <c r="EP10">
        <v>1</v>
      </c>
      <c r="EQ10">
        <v>0</v>
      </c>
      <c r="ER10">
        <v>3</v>
      </c>
      <c r="ES10">
        <v>2</v>
      </c>
      <c r="ET10">
        <v>2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2</v>
      </c>
      <c r="FE10">
        <v>1</v>
      </c>
      <c r="FF10">
        <v>0</v>
      </c>
      <c r="FG10">
        <v>0</v>
      </c>
      <c r="FH10">
        <v>1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1</v>
      </c>
    </row>
    <row r="11" spans="1:172" ht="14.25">
      <c r="A11">
        <v>6</v>
      </c>
      <c r="B11" t="str">
        <f aca="true" t="shared" si="2" ref="B11:B30">"100302"</f>
        <v>100302</v>
      </c>
      <c r="C11" t="str">
        <f aca="true" t="shared" si="3" ref="C11:C30">"Łask"</f>
        <v>Łask</v>
      </c>
      <c r="D11" t="str">
        <f t="shared" si="0"/>
        <v>łaski</v>
      </c>
      <c r="E11" t="str">
        <f t="shared" si="1"/>
        <v>łódzkie</v>
      </c>
      <c r="F11">
        <v>1</v>
      </c>
      <c r="G11" t="str">
        <f>"Publiczne Gimnazjum Nr 1, Narutowicza 28, 98-100 Łask"</f>
        <v>Publiczne Gimnazjum Nr 1, Narutowicza 28, 98-100 Łask</v>
      </c>
      <c r="H11">
        <v>1197</v>
      </c>
      <c r="I11">
        <v>1197</v>
      </c>
      <c r="J11">
        <v>0</v>
      </c>
      <c r="K11">
        <v>850</v>
      </c>
      <c r="L11">
        <v>528</v>
      </c>
      <c r="M11">
        <v>322</v>
      </c>
      <c r="N11">
        <v>322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322</v>
      </c>
      <c r="Z11">
        <v>0</v>
      </c>
      <c r="AA11">
        <v>0</v>
      </c>
      <c r="AB11">
        <v>322</v>
      </c>
      <c r="AC11">
        <v>18</v>
      </c>
      <c r="AD11">
        <v>304</v>
      </c>
      <c r="AE11">
        <v>5</v>
      </c>
      <c r="AF11">
        <v>0</v>
      </c>
      <c r="AG11">
        <v>1</v>
      </c>
      <c r="AH11">
        <v>2</v>
      </c>
      <c r="AI11">
        <v>0</v>
      </c>
      <c r="AJ11">
        <v>0</v>
      </c>
      <c r="AK11">
        <v>1</v>
      </c>
      <c r="AL11">
        <v>1</v>
      </c>
      <c r="AM11">
        <v>0</v>
      </c>
      <c r="AN11">
        <v>0</v>
      </c>
      <c r="AO11">
        <v>0</v>
      </c>
      <c r="AP11">
        <v>5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70</v>
      </c>
      <c r="BD11">
        <v>32</v>
      </c>
      <c r="BE11">
        <v>15</v>
      </c>
      <c r="BF11">
        <v>2</v>
      </c>
      <c r="BG11">
        <v>1</v>
      </c>
      <c r="BH11">
        <v>1</v>
      </c>
      <c r="BI11">
        <v>1</v>
      </c>
      <c r="BJ11">
        <v>4</v>
      </c>
      <c r="BK11">
        <v>0</v>
      </c>
      <c r="BL11">
        <v>3</v>
      </c>
      <c r="BM11">
        <v>11</v>
      </c>
      <c r="BN11">
        <v>70</v>
      </c>
      <c r="BO11">
        <v>72</v>
      </c>
      <c r="BP11">
        <v>57</v>
      </c>
      <c r="BQ11">
        <v>3</v>
      </c>
      <c r="BR11">
        <v>5</v>
      </c>
      <c r="BS11">
        <v>4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2</v>
      </c>
      <c r="BZ11">
        <v>72</v>
      </c>
      <c r="CA11">
        <v>9</v>
      </c>
      <c r="CB11">
        <v>3</v>
      </c>
      <c r="CC11">
        <v>0</v>
      </c>
      <c r="CD11">
        <v>0</v>
      </c>
      <c r="CE11">
        <v>0</v>
      </c>
      <c r="CF11">
        <v>0</v>
      </c>
      <c r="CG11">
        <v>2</v>
      </c>
      <c r="CH11">
        <v>1</v>
      </c>
      <c r="CI11">
        <v>0</v>
      </c>
      <c r="CJ11">
        <v>1</v>
      </c>
      <c r="CK11">
        <v>2</v>
      </c>
      <c r="CL11">
        <v>9</v>
      </c>
      <c r="CM11">
        <v>3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2</v>
      </c>
      <c r="CU11">
        <v>0</v>
      </c>
      <c r="CV11">
        <v>0</v>
      </c>
      <c r="CW11">
        <v>0</v>
      </c>
      <c r="CX11">
        <v>3</v>
      </c>
      <c r="CY11">
        <v>20</v>
      </c>
      <c r="CZ11">
        <v>11</v>
      </c>
      <c r="DA11">
        <v>1</v>
      </c>
      <c r="DB11">
        <v>0</v>
      </c>
      <c r="DC11">
        <v>3</v>
      </c>
      <c r="DD11">
        <v>0</v>
      </c>
      <c r="DE11">
        <v>0</v>
      </c>
      <c r="DF11">
        <v>0</v>
      </c>
      <c r="DG11">
        <v>0</v>
      </c>
      <c r="DH11">
        <v>3</v>
      </c>
      <c r="DI11">
        <v>2</v>
      </c>
      <c r="DJ11">
        <v>20</v>
      </c>
      <c r="DK11">
        <v>106</v>
      </c>
      <c r="DL11">
        <v>77</v>
      </c>
      <c r="DM11">
        <v>16</v>
      </c>
      <c r="DN11">
        <v>1</v>
      </c>
      <c r="DO11">
        <v>6</v>
      </c>
      <c r="DP11">
        <v>2</v>
      </c>
      <c r="DQ11">
        <v>1</v>
      </c>
      <c r="DR11">
        <v>1</v>
      </c>
      <c r="DS11">
        <v>0</v>
      </c>
      <c r="DT11">
        <v>0</v>
      </c>
      <c r="DU11">
        <v>2</v>
      </c>
      <c r="DV11">
        <v>106</v>
      </c>
      <c r="DW11">
        <v>12</v>
      </c>
      <c r="DX11">
        <v>3</v>
      </c>
      <c r="DY11">
        <v>2</v>
      </c>
      <c r="DZ11">
        <v>0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0</v>
      </c>
      <c r="EG11">
        <v>2</v>
      </c>
      <c r="EH11">
        <v>12</v>
      </c>
      <c r="EI11">
        <v>4</v>
      </c>
      <c r="EJ11">
        <v>0</v>
      </c>
      <c r="EK11">
        <v>2</v>
      </c>
      <c r="EL11">
        <v>0</v>
      </c>
      <c r="EM11">
        <v>0</v>
      </c>
      <c r="EN11">
        <v>0</v>
      </c>
      <c r="EO11">
        <v>2</v>
      </c>
      <c r="EP11">
        <v>0</v>
      </c>
      <c r="EQ11">
        <v>0</v>
      </c>
      <c r="ER11">
        <v>4</v>
      </c>
      <c r="ES11">
        <v>2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2</v>
      </c>
      <c r="FC11">
        <v>0</v>
      </c>
      <c r="FD11">
        <v>2</v>
      </c>
      <c r="FE11">
        <v>1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1</v>
      </c>
    </row>
    <row r="12" spans="1:172" ht="14.25">
      <c r="A12">
        <v>7</v>
      </c>
      <c r="B12" t="str">
        <f t="shared" si="2"/>
        <v>100302</v>
      </c>
      <c r="C12" t="str">
        <f t="shared" si="3"/>
        <v>Łask</v>
      </c>
      <c r="D12" t="str">
        <f t="shared" si="0"/>
        <v>łaski</v>
      </c>
      <c r="E12" t="str">
        <f t="shared" si="1"/>
        <v>łódzkie</v>
      </c>
      <c r="F12">
        <v>2</v>
      </c>
      <c r="G12" t="str">
        <f>"Publiczne Gimnazjum Nr 1, Narutowicza 28, 98-100 Łask"</f>
        <v>Publiczne Gimnazjum Nr 1, Narutowicza 28, 98-100 Łask</v>
      </c>
      <c r="H12">
        <v>1069</v>
      </c>
      <c r="I12">
        <v>1069</v>
      </c>
      <c r="J12">
        <v>0</v>
      </c>
      <c r="K12">
        <v>760</v>
      </c>
      <c r="L12">
        <v>551</v>
      </c>
      <c r="M12">
        <v>209</v>
      </c>
      <c r="N12">
        <v>209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209</v>
      </c>
      <c r="Z12">
        <v>0</v>
      </c>
      <c r="AA12">
        <v>0</v>
      </c>
      <c r="AB12">
        <v>209</v>
      </c>
      <c r="AC12">
        <v>16</v>
      </c>
      <c r="AD12">
        <v>193</v>
      </c>
      <c r="AE12">
        <v>5</v>
      </c>
      <c r="AF12">
        <v>1</v>
      </c>
      <c r="AG12">
        <v>0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5</v>
      </c>
      <c r="AQ12">
        <v>1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19</v>
      </c>
      <c r="BD12">
        <v>10</v>
      </c>
      <c r="BE12">
        <v>5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2</v>
      </c>
      <c r="BM12">
        <v>1</v>
      </c>
      <c r="BN12">
        <v>19</v>
      </c>
      <c r="BO12">
        <v>77</v>
      </c>
      <c r="BP12">
        <v>57</v>
      </c>
      <c r="BQ12">
        <v>3</v>
      </c>
      <c r="BR12">
        <v>4</v>
      </c>
      <c r="BS12">
        <v>8</v>
      </c>
      <c r="BT12">
        <v>0</v>
      </c>
      <c r="BU12">
        <v>2</v>
      </c>
      <c r="BV12">
        <v>0</v>
      </c>
      <c r="BW12">
        <v>0</v>
      </c>
      <c r="BX12">
        <v>1</v>
      </c>
      <c r="BY12">
        <v>2</v>
      </c>
      <c r="BZ12">
        <v>77</v>
      </c>
      <c r="CA12">
        <v>6</v>
      </c>
      <c r="CB12">
        <v>3</v>
      </c>
      <c r="CC12">
        <v>1</v>
      </c>
      <c r="CD12">
        <v>1</v>
      </c>
      <c r="CE12">
        <v>0</v>
      </c>
      <c r="CF12">
        <v>0</v>
      </c>
      <c r="CG12">
        <v>1</v>
      </c>
      <c r="CH12">
        <v>0</v>
      </c>
      <c r="CI12">
        <v>0</v>
      </c>
      <c r="CJ12">
        <v>0</v>
      </c>
      <c r="CK12">
        <v>0</v>
      </c>
      <c r="CL12">
        <v>6</v>
      </c>
      <c r="CM12">
        <v>6</v>
      </c>
      <c r="CN12">
        <v>3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3</v>
      </c>
      <c r="CU12">
        <v>0</v>
      </c>
      <c r="CV12">
        <v>0</v>
      </c>
      <c r="CW12">
        <v>0</v>
      </c>
      <c r="CX12">
        <v>6</v>
      </c>
      <c r="CY12">
        <v>21</v>
      </c>
      <c r="CZ12">
        <v>10</v>
      </c>
      <c r="DA12">
        <v>2</v>
      </c>
      <c r="DB12">
        <v>1</v>
      </c>
      <c r="DC12">
        <v>0</v>
      </c>
      <c r="DD12">
        <v>0</v>
      </c>
      <c r="DE12">
        <v>0</v>
      </c>
      <c r="DF12">
        <v>1</v>
      </c>
      <c r="DG12">
        <v>3</v>
      </c>
      <c r="DH12">
        <v>2</v>
      </c>
      <c r="DI12">
        <v>2</v>
      </c>
      <c r="DJ12">
        <v>21</v>
      </c>
      <c r="DK12">
        <v>47</v>
      </c>
      <c r="DL12">
        <v>31</v>
      </c>
      <c r="DM12">
        <v>12</v>
      </c>
      <c r="DN12">
        <v>0</v>
      </c>
      <c r="DO12">
        <v>1</v>
      </c>
      <c r="DP12">
        <v>1</v>
      </c>
      <c r="DQ12">
        <v>1</v>
      </c>
      <c r="DR12">
        <v>0</v>
      </c>
      <c r="DS12">
        <v>0</v>
      </c>
      <c r="DT12">
        <v>0</v>
      </c>
      <c r="DU12">
        <v>1</v>
      </c>
      <c r="DV12">
        <v>47</v>
      </c>
      <c r="DW12">
        <v>6</v>
      </c>
      <c r="DX12">
        <v>2</v>
      </c>
      <c r="DY12">
        <v>1</v>
      </c>
      <c r="DZ12">
        <v>0</v>
      </c>
      <c r="EA12">
        <v>0</v>
      </c>
      <c r="EB12">
        <v>2</v>
      </c>
      <c r="EC12">
        <v>1</v>
      </c>
      <c r="ED12">
        <v>0</v>
      </c>
      <c r="EE12">
        <v>0</v>
      </c>
      <c r="EF12">
        <v>0</v>
      </c>
      <c r="EG12">
        <v>0</v>
      </c>
      <c r="EH12">
        <v>6</v>
      </c>
      <c r="EI12">
        <v>3</v>
      </c>
      <c r="EJ12">
        <v>0</v>
      </c>
      <c r="EK12">
        <v>2</v>
      </c>
      <c r="EL12">
        <v>0</v>
      </c>
      <c r="EM12">
        <v>0</v>
      </c>
      <c r="EN12">
        <v>0</v>
      </c>
      <c r="EO12">
        <v>0</v>
      </c>
      <c r="EP12">
        <v>1</v>
      </c>
      <c r="EQ12">
        <v>0</v>
      </c>
      <c r="ER12">
        <v>3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2</v>
      </c>
      <c r="FF12">
        <v>1</v>
      </c>
      <c r="FG12">
        <v>0</v>
      </c>
      <c r="FH12">
        <v>1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2</v>
      </c>
    </row>
    <row r="13" spans="1:172" ht="14.25">
      <c r="A13">
        <v>8</v>
      </c>
      <c r="B13" t="str">
        <f t="shared" si="2"/>
        <v>100302</v>
      </c>
      <c r="C13" t="str">
        <f t="shared" si="3"/>
        <v>Łask</v>
      </c>
      <c r="D13" t="str">
        <f t="shared" si="0"/>
        <v>łaski</v>
      </c>
      <c r="E13" t="str">
        <f t="shared" si="1"/>
        <v>łódzkie</v>
      </c>
      <c r="F13">
        <v>3</v>
      </c>
      <c r="G13" t="str">
        <f>"Łaski Dom Kultury, Narutowicza 11, 98-100 Łask"</f>
        <v>Łaski Dom Kultury, Narutowicza 11, 98-100 Łask</v>
      </c>
      <c r="H13">
        <v>1478</v>
      </c>
      <c r="I13">
        <v>1478</v>
      </c>
      <c r="J13">
        <v>0</v>
      </c>
      <c r="K13">
        <v>1040</v>
      </c>
      <c r="L13">
        <v>607</v>
      </c>
      <c r="M13">
        <v>433</v>
      </c>
      <c r="N13">
        <v>433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433</v>
      </c>
      <c r="Z13">
        <v>0</v>
      </c>
      <c r="AA13">
        <v>0</v>
      </c>
      <c r="AB13">
        <v>433</v>
      </c>
      <c r="AC13">
        <v>6</v>
      </c>
      <c r="AD13">
        <v>427</v>
      </c>
      <c r="AE13">
        <v>12</v>
      </c>
      <c r="AF13">
        <v>4</v>
      </c>
      <c r="AG13">
        <v>5</v>
      </c>
      <c r="AH13">
        <v>0</v>
      </c>
      <c r="AI13">
        <v>1</v>
      </c>
      <c r="AJ13">
        <v>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12</v>
      </c>
      <c r="AQ13">
        <v>1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43</v>
      </c>
      <c r="BD13">
        <v>12</v>
      </c>
      <c r="BE13">
        <v>15</v>
      </c>
      <c r="BF13">
        <v>2</v>
      </c>
      <c r="BG13">
        <v>3</v>
      </c>
      <c r="BH13">
        <v>0</v>
      </c>
      <c r="BI13">
        <v>1</v>
      </c>
      <c r="BJ13">
        <v>3</v>
      </c>
      <c r="BK13">
        <v>2</v>
      </c>
      <c r="BL13">
        <v>1</v>
      </c>
      <c r="BM13">
        <v>4</v>
      </c>
      <c r="BN13">
        <v>43</v>
      </c>
      <c r="BO13">
        <v>196</v>
      </c>
      <c r="BP13">
        <v>162</v>
      </c>
      <c r="BQ13">
        <v>4</v>
      </c>
      <c r="BR13">
        <v>11</v>
      </c>
      <c r="BS13">
        <v>10</v>
      </c>
      <c r="BT13">
        <v>1</v>
      </c>
      <c r="BU13">
        <v>1</v>
      </c>
      <c r="BV13">
        <v>3</v>
      </c>
      <c r="BW13">
        <v>0</v>
      </c>
      <c r="BX13">
        <v>0</v>
      </c>
      <c r="BY13">
        <v>4</v>
      </c>
      <c r="BZ13">
        <v>196</v>
      </c>
      <c r="CA13">
        <v>9</v>
      </c>
      <c r="CB13">
        <v>2</v>
      </c>
      <c r="CC13">
        <v>2</v>
      </c>
      <c r="CD13">
        <v>1</v>
      </c>
      <c r="CE13">
        <v>0</v>
      </c>
      <c r="CF13">
        <v>2</v>
      </c>
      <c r="CG13">
        <v>0</v>
      </c>
      <c r="CH13">
        <v>1</v>
      </c>
      <c r="CI13">
        <v>1</v>
      </c>
      <c r="CJ13">
        <v>0</v>
      </c>
      <c r="CK13">
        <v>0</v>
      </c>
      <c r="CL13">
        <v>9</v>
      </c>
      <c r="CM13">
        <v>15</v>
      </c>
      <c r="CN13">
        <v>5</v>
      </c>
      <c r="CO13">
        <v>0</v>
      </c>
      <c r="CP13">
        <v>0</v>
      </c>
      <c r="CQ13">
        <v>1</v>
      </c>
      <c r="CR13">
        <v>0</v>
      </c>
      <c r="CS13">
        <v>0</v>
      </c>
      <c r="CT13">
        <v>8</v>
      </c>
      <c r="CU13">
        <v>0</v>
      </c>
      <c r="CV13">
        <v>1</v>
      </c>
      <c r="CW13">
        <v>0</v>
      </c>
      <c r="CX13">
        <v>15</v>
      </c>
      <c r="CY13">
        <v>16</v>
      </c>
      <c r="CZ13">
        <v>10</v>
      </c>
      <c r="DA13">
        <v>1</v>
      </c>
      <c r="DB13">
        <v>0</v>
      </c>
      <c r="DC13">
        <v>1</v>
      </c>
      <c r="DD13">
        <v>1</v>
      </c>
      <c r="DE13">
        <v>0</v>
      </c>
      <c r="DF13">
        <v>0</v>
      </c>
      <c r="DG13">
        <v>1</v>
      </c>
      <c r="DH13">
        <v>0</v>
      </c>
      <c r="DI13">
        <v>2</v>
      </c>
      <c r="DJ13">
        <v>16</v>
      </c>
      <c r="DK13">
        <v>117</v>
      </c>
      <c r="DL13">
        <v>83</v>
      </c>
      <c r="DM13">
        <v>17</v>
      </c>
      <c r="DN13">
        <v>1</v>
      </c>
      <c r="DO13">
        <v>4</v>
      </c>
      <c r="DP13">
        <v>2</v>
      </c>
      <c r="DQ13">
        <v>1</v>
      </c>
      <c r="DR13">
        <v>1</v>
      </c>
      <c r="DS13">
        <v>1</v>
      </c>
      <c r="DT13">
        <v>2</v>
      </c>
      <c r="DU13">
        <v>5</v>
      </c>
      <c r="DV13">
        <v>117</v>
      </c>
      <c r="DW13">
        <v>13</v>
      </c>
      <c r="DX13">
        <v>4</v>
      </c>
      <c r="DY13">
        <v>3</v>
      </c>
      <c r="DZ13">
        <v>0</v>
      </c>
      <c r="EA13">
        <v>3</v>
      </c>
      <c r="EB13">
        <v>0</v>
      </c>
      <c r="EC13">
        <v>2</v>
      </c>
      <c r="ED13">
        <v>1</v>
      </c>
      <c r="EE13">
        <v>0</v>
      </c>
      <c r="EF13">
        <v>0</v>
      </c>
      <c r="EG13">
        <v>0</v>
      </c>
      <c r="EH13">
        <v>13</v>
      </c>
      <c r="EI13">
        <v>1</v>
      </c>
      <c r="EJ13">
        <v>0</v>
      </c>
      <c r="EK13">
        <v>1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4</v>
      </c>
      <c r="FF13">
        <v>1</v>
      </c>
      <c r="FG13">
        <v>0</v>
      </c>
      <c r="FH13">
        <v>1</v>
      </c>
      <c r="FI13">
        <v>0</v>
      </c>
      <c r="FJ13">
        <v>0</v>
      </c>
      <c r="FK13">
        <v>0</v>
      </c>
      <c r="FL13">
        <v>0</v>
      </c>
      <c r="FM13">
        <v>1</v>
      </c>
      <c r="FN13">
        <v>0</v>
      </c>
      <c r="FO13">
        <v>1</v>
      </c>
      <c r="FP13">
        <v>4</v>
      </c>
    </row>
    <row r="14" spans="1:172" ht="14.25">
      <c r="A14">
        <v>9</v>
      </c>
      <c r="B14" t="str">
        <f t="shared" si="2"/>
        <v>100302</v>
      </c>
      <c r="C14" t="str">
        <f t="shared" si="3"/>
        <v>Łask</v>
      </c>
      <c r="D14" t="str">
        <f t="shared" si="0"/>
        <v>łaski</v>
      </c>
      <c r="E14" t="str">
        <f t="shared" si="1"/>
        <v>łódzkie</v>
      </c>
      <c r="F14">
        <v>4</v>
      </c>
      <c r="G14" t="str">
        <f>"Szkoła Podstawowa Nr 1, 9 Maja 12, 98-100 Łask"</f>
        <v>Szkoła Podstawowa Nr 1, 9 Maja 12, 98-100 Łask</v>
      </c>
      <c r="H14">
        <v>1822</v>
      </c>
      <c r="I14">
        <v>1822</v>
      </c>
      <c r="J14">
        <v>0</v>
      </c>
      <c r="K14">
        <v>1290</v>
      </c>
      <c r="L14">
        <v>952</v>
      </c>
      <c r="M14">
        <v>338</v>
      </c>
      <c r="N14">
        <v>338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338</v>
      </c>
      <c r="Z14">
        <v>0</v>
      </c>
      <c r="AA14">
        <v>0</v>
      </c>
      <c r="AB14">
        <v>338</v>
      </c>
      <c r="AC14">
        <v>5</v>
      </c>
      <c r="AD14">
        <v>333</v>
      </c>
      <c r="AE14">
        <v>5</v>
      </c>
      <c r="AF14">
        <v>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5</v>
      </c>
      <c r="AQ14">
        <v>3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0</v>
      </c>
      <c r="BB14">
        <v>3</v>
      </c>
      <c r="BC14">
        <v>18</v>
      </c>
      <c r="BD14">
        <v>12</v>
      </c>
      <c r="BE14">
        <v>1</v>
      </c>
      <c r="BF14">
        <v>0</v>
      </c>
      <c r="BG14">
        <v>0</v>
      </c>
      <c r="BH14">
        <v>3</v>
      </c>
      <c r="BI14">
        <v>0</v>
      </c>
      <c r="BJ14">
        <v>1</v>
      </c>
      <c r="BK14">
        <v>0</v>
      </c>
      <c r="BL14">
        <v>0</v>
      </c>
      <c r="BM14">
        <v>1</v>
      </c>
      <c r="BN14">
        <v>18</v>
      </c>
      <c r="BO14">
        <v>163</v>
      </c>
      <c r="BP14">
        <v>125</v>
      </c>
      <c r="BQ14">
        <v>9</v>
      </c>
      <c r="BR14">
        <v>10</v>
      </c>
      <c r="BS14">
        <v>10</v>
      </c>
      <c r="BT14">
        <v>0</v>
      </c>
      <c r="BU14">
        <v>1</v>
      </c>
      <c r="BV14">
        <v>1</v>
      </c>
      <c r="BW14">
        <v>1</v>
      </c>
      <c r="BX14">
        <v>1</v>
      </c>
      <c r="BY14">
        <v>5</v>
      </c>
      <c r="BZ14">
        <v>163</v>
      </c>
      <c r="CA14">
        <v>7</v>
      </c>
      <c r="CB14">
        <v>3</v>
      </c>
      <c r="CC14">
        <v>1</v>
      </c>
      <c r="CD14">
        <v>1</v>
      </c>
      <c r="CE14">
        <v>0</v>
      </c>
      <c r="CF14">
        <v>0</v>
      </c>
      <c r="CG14">
        <v>0</v>
      </c>
      <c r="CH14">
        <v>0</v>
      </c>
      <c r="CI14">
        <v>1</v>
      </c>
      <c r="CJ14">
        <v>1</v>
      </c>
      <c r="CK14">
        <v>0</v>
      </c>
      <c r="CL14">
        <v>7</v>
      </c>
      <c r="CM14">
        <v>7</v>
      </c>
      <c r="CN14">
        <v>3</v>
      </c>
      <c r="CO14">
        <v>0</v>
      </c>
      <c r="CP14">
        <v>0</v>
      </c>
      <c r="CQ14">
        <v>1</v>
      </c>
      <c r="CR14">
        <v>0</v>
      </c>
      <c r="CS14">
        <v>1</v>
      </c>
      <c r="CT14">
        <v>2</v>
      </c>
      <c r="CU14">
        <v>0</v>
      </c>
      <c r="CV14">
        <v>0</v>
      </c>
      <c r="CW14">
        <v>0</v>
      </c>
      <c r="CX14">
        <v>7</v>
      </c>
      <c r="CY14">
        <v>16</v>
      </c>
      <c r="CZ14">
        <v>13</v>
      </c>
      <c r="DA14">
        <v>0</v>
      </c>
      <c r="DB14">
        <v>0</v>
      </c>
      <c r="DC14">
        <v>1</v>
      </c>
      <c r="DD14">
        <v>0</v>
      </c>
      <c r="DE14">
        <v>0</v>
      </c>
      <c r="DF14">
        <v>1</v>
      </c>
      <c r="DG14">
        <v>0</v>
      </c>
      <c r="DH14">
        <v>1</v>
      </c>
      <c r="DI14">
        <v>0</v>
      </c>
      <c r="DJ14">
        <v>16</v>
      </c>
      <c r="DK14">
        <v>95</v>
      </c>
      <c r="DL14">
        <v>70</v>
      </c>
      <c r="DM14">
        <v>15</v>
      </c>
      <c r="DN14">
        <v>0</v>
      </c>
      <c r="DO14">
        <v>0</v>
      </c>
      <c r="DP14">
        <v>2</v>
      </c>
      <c r="DQ14">
        <v>0</v>
      </c>
      <c r="DR14">
        <v>2</v>
      </c>
      <c r="DS14">
        <v>0</v>
      </c>
      <c r="DT14">
        <v>4</v>
      </c>
      <c r="DU14">
        <v>2</v>
      </c>
      <c r="DV14">
        <v>95</v>
      </c>
      <c r="DW14">
        <v>14</v>
      </c>
      <c r="DX14">
        <v>7</v>
      </c>
      <c r="DY14">
        <v>0</v>
      </c>
      <c r="DZ14">
        <v>0</v>
      </c>
      <c r="EA14">
        <v>3</v>
      </c>
      <c r="EB14">
        <v>0</v>
      </c>
      <c r="EC14">
        <v>3</v>
      </c>
      <c r="ED14">
        <v>0</v>
      </c>
      <c r="EE14">
        <v>0</v>
      </c>
      <c r="EF14">
        <v>1</v>
      </c>
      <c r="EG14">
        <v>0</v>
      </c>
      <c r="EH14">
        <v>14</v>
      </c>
      <c r="EI14">
        <v>1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0</v>
      </c>
      <c r="EQ14">
        <v>0</v>
      </c>
      <c r="ER14">
        <v>1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4</v>
      </c>
      <c r="FF14">
        <v>0</v>
      </c>
      <c r="FG14">
        <v>1</v>
      </c>
      <c r="FH14">
        <v>3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4</v>
      </c>
    </row>
    <row r="15" spans="1:172" ht="14.25">
      <c r="A15">
        <v>10</v>
      </c>
      <c r="B15" t="str">
        <f t="shared" si="2"/>
        <v>100302</v>
      </c>
      <c r="C15" t="str">
        <f t="shared" si="3"/>
        <v>Łask</v>
      </c>
      <c r="D15" t="str">
        <f t="shared" si="0"/>
        <v>łaski</v>
      </c>
      <c r="E15" t="str">
        <f t="shared" si="1"/>
        <v>łódzkie</v>
      </c>
      <c r="F15">
        <v>5</v>
      </c>
      <c r="G15" t="str">
        <f>"Specjalny Ośrodek Szkolno-Wychowawczy, Mickiewicza 6, 98-100 Łask"</f>
        <v>Specjalny Ośrodek Szkolno-Wychowawczy, Mickiewicza 6, 98-100 Łask</v>
      </c>
      <c r="H15">
        <v>1241</v>
      </c>
      <c r="I15">
        <v>1241</v>
      </c>
      <c r="J15">
        <v>0</v>
      </c>
      <c r="K15">
        <v>880</v>
      </c>
      <c r="L15">
        <v>546</v>
      </c>
      <c r="M15">
        <v>334</v>
      </c>
      <c r="N15">
        <v>334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334</v>
      </c>
      <c r="Z15">
        <v>0</v>
      </c>
      <c r="AA15">
        <v>0</v>
      </c>
      <c r="AB15">
        <v>334</v>
      </c>
      <c r="AC15">
        <v>8</v>
      </c>
      <c r="AD15">
        <v>326</v>
      </c>
      <c r="AE15">
        <v>9</v>
      </c>
      <c r="AF15">
        <v>7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9</v>
      </c>
      <c r="AQ15">
        <v>5</v>
      </c>
      <c r="AR15">
        <v>4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5</v>
      </c>
      <c r="BC15">
        <v>32</v>
      </c>
      <c r="BD15">
        <v>15</v>
      </c>
      <c r="BE15">
        <v>7</v>
      </c>
      <c r="BF15">
        <v>1</v>
      </c>
      <c r="BG15">
        <v>0</v>
      </c>
      <c r="BH15">
        <v>0</v>
      </c>
      <c r="BI15">
        <v>0</v>
      </c>
      <c r="BJ15">
        <v>2</v>
      </c>
      <c r="BK15">
        <v>0</v>
      </c>
      <c r="BL15">
        <v>1</v>
      </c>
      <c r="BM15">
        <v>6</v>
      </c>
      <c r="BN15">
        <v>32</v>
      </c>
      <c r="BO15">
        <v>108</v>
      </c>
      <c r="BP15">
        <v>99</v>
      </c>
      <c r="BQ15">
        <v>1</v>
      </c>
      <c r="BR15">
        <v>1</v>
      </c>
      <c r="BS15">
        <v>6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108</v>
      </c>
      <c r="CA15">
        <v>5</v>
      </c>
      <c r="CB15">
        <v>5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5</v>
      </c>
      <c r="CM15">
        <v>6</v>
      </c>
      <c r="CN15">
        <v>3</v>
      </c>
      <c r="CO15">
        <v>1</v>
      </c>
      <c r="CP15">
        <v>0</v>
      </c>
      <c r="CQ15">
        <v>0</v>
      </c>
      <c r="CR15">
        <v>0</v>
      </c>
      <c r="CS15">
        <v>0</v>
      </c>
      <c r="CT15">
        <v>2</v>
      </c>
      <c r="CU15">
        <v>0</v>
      </c>
      <c r="CV15">
        <v>0</v>
      </c>
      <c r="CW15">
        <v>0</v>
      </c>
      <c r="CX15">
        <v>6</v>
      </c>
      <c r="CY15">
        <v>21</v>
      </c>
      <c r="CZ15">
        <v>10</v>
      </c>
      <c r="DA15">
        <v>2</v>
      </c>
      <c r="DB15">
        <v>1</v>
      </c>
      <c r="DC15">
        <v>2</v>
      </c>
      <c r="DD15">
        <v>0</v>
      </c>
      <c r="DE15">
        <v>1</v>
      </c>
      <c r="DF15">
        <v>0</v>
      </c>
      <c r="DG15">
        <v>2</v>
      </c>
      <c r="DH15">
        <v>0</v>
      </c>
      <c r="DI15">
        <v>3</v>
      </c>
      <c r="DJ15">
        <v>21</v>
      </c>
      <c r="DK15">
        <v>109</v>
      </c>
      <c r="DL15">
        <v>91</v>
      </c>
      <c r="DM15">
        <v>9</v>
      </c>
      <c r="DN15">
        <v>1</v>
      </c>
      <c r="DO15">
        <v>2</v>
      </c>
      <c r="DP15">
        <v>0</v>
      </c>
      <c r="DQ15">
        <v>1</v>
      </c>
      <c r="DR15">
        <v>2</v>
      </c>
      <c r="DS15">
        <v>2</v>
      </c>
      <c r="DT15">
        <v>0</v>
      </c>
      <c r="DU15">
        <v>1</v>
      </c>
      <c r="DV15">
        <v>109</v>
      </c>
      <c r="DW15">
        <v>19</v>
      </c>
      <c r="DX15">
        <v>9</v>
      </c>
      <c r="DY15">
        <v>1</v>
      </c>
      <c r="DZ15">
        <v>0</v>
      </c>
      <c r="EA15">
        <v>3</v>
      </c>
      <c r="EB15">
        <v>0</v>
      </c>
      <c r="EC15">
        <v>4</v>
      </c>
      <c r="ED15">
        <v>1</v>
      </c>
      <c r="EE15">
        <v>0</v>
      </c>
      <c r="EF15">
        <v>0</v>
      </c>
      <c r="EG15">
        <v>1</v>
      </c>
      <c r="EH15">
        <v>19</v>
      </c>
      <c r="EI15">
        <v>2</v>
      </c>
      <c r="EJ15">
        <v>1</v>
      </c>
      <c r="EK15">
        <v>1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2</v>
      </c>
      <c r="ES15">
        <v>2</v>
      </c>
      <c r="ET15">
        <v>1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1</v>
      </c>
      <c r="FB15">
        <v>0</v>
      </c>
      <c r="FC15">
        <v>0</v>
      </c>
      <c r="FD15">
        <v>2</v>
      </c>
      <c r="FE15">
        <v>8</v>
      </c>
      <c r="FF15">
        <v>1</v>
      </c>
      <c r="FG15">
        <v>2</v>
      </c>
      <c r="FH15">
        <v>2</v>
      </c>
      <c r="FI15">
        <v>0</v>
      </c>
      <c r="FJ15">
        <v>1</v>
      </c>
      <c r="FK15">
        <v>0</v>
      </c>
      <c r="FL15">
        <v>0</v>
      </c>
      <c r="FM15">
        <v>0</v>
      </c>
      <c r="FN15">
        <v>0</v>
      </c>
      <c r="FO15">
        <v>2</v>
      </c>
      <c r="FP15">
        <v>8</v>
      </c>
    </row>
    <row r="16" spans="1:172" ht="14.25">
      <c r="A16">
        <v>11</v>
      </c>
      <c r="B16" t="str">
        <f t="shared" si="2"/>
        <v>100302</v>
      </c>
      <c r="C16" t="str">
        <f t="shared" si="3"/>
        <v>Łask</v>
      </c>
      <c r="D16" t="str">
        <f t="shared" si="0"/>
        <v>łaski</v>
      </c>
      <c r="E16" t="str">
        <f t="shared" si="1"/>
        <v>łódzkie</v>
      </c>
      <c r="F16">
        <v>6</v>
      </c>
      <c r="G16" t="str">
        <f>"Publiczne Gimnazjum Nr 2, Berligna 1, 98-100 Łask"</f>
        <v>Publiczne Gimnazjum Nr 2, Berligna 1, 98-100 Łask</v>
      </c>
      <c r="H16">
        <v>1285</v>
      </c>
      <c r="I16">
        <v>1285</v>
      </c>
      <c r="J16">
        <v>0</v>
      </c>
      <c r="K16">
        <v>910</v>
      </c>
      <c r="L16">
        <v>635</v>
      </c>
      <c r="M16">
        <v>275</v>
      </c>
      <c r="N16">
        <v>275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275</v>
      </c>
      <c r="Z16">
        <v>0</v>
      </c>
      <c r="AA16">
        <v>0</v>
      </c>
      <c r="AB16">
        <v>275</v>
      </c>
      <c r="AC16">
        <v>11</v>
      </c>
      <c r="AD16">
        <v>264</v>
      </c>
      <c r="AE16">
        <v>2</v>
      </c>
      <c r="AF16">
        <v>0</v>
      </c>
      <c r="AG16">
        <v>2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  <c r="AQ16">
        <v>4</v>
      </c>
      <c r="AR16">
        <v>1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1</v>
      </c>
      <c r="BB16">
        <v>4</v>
      </c>
      <c r="BC16">
        <v>39</v>
      </c>
      <c r="BD16">
        <v>23</v>
      </c>
      <c r="BE16">
        <v>3</v>
      </c>
      <c r="BF16">
        <v>5</v>
      </c>
      <c r="BG16">
        <v>1</v>
      </c>
      <c r="BH16">
        <v>0</v>
      </c>
      <c r="BI16">
        <v>2</v>
      </c>
      <c r="BJ16">
        <v>0</v>
      </c>
      <c r="BK16">
        <v>0</v>
      </c>
      <c r="BL16">
        <v>0</v>
      </c>
      <c r="BM16">
        <v>5</v>
      </c>
      <c r="BN16">
        <v>39</v>
      </c>
      <c r="BO16">
        <v>119</v>
      </c>
      <c r="BP16">
        <v>94</v>
      </c>
      <c r="BQ16">
        <v>4</v>
      </c>
      <c r="BR16">
        <v>5</v>
      </c>
      <c r="BS16">
        <v>5</v>
      </c>
      <c r="BT16">
        <v>2</v>
      </c>
      <c r="BU16">
        <v>0</v>
      </c>
      <c r="BV16">
        <v>1</v>
      </c>
      <c r="BW16">
        <v>1</v>
      </c>
      <c r="BX16">
        <v>0</v>
      </c>
      <c r="BY16">
        <v>7</v>
      </c>
      <c r="BZ16">
        <v>119</v>
      </c>
      <c r="CA16">
        <v>8</v>
      </c>
      <c r="CB16">
        <v>4</v>
      </c>
      <c r="CC16">
        <v>0</v>
      </c>
      <c r="CD16">
        <v>0</v>
      </c>
      <c r="CE16">
        <v>3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8</v>
      </c>
      <c r="CM16">
        <v>4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2</v>
      </c>
      <c r="CU16">
        <v>0</v>
      </c>
      <c r="CV16">
        <v>0</v>
      </c>
      <c r="CW16">
        <v>0</v>
      </c>
      <c r="CX16">
        <v>4</v>
      </c>
      <c r="CY16">
        <v>15</v>
      </c>
      <c r="CZ16">
        <v>6</v>
      </c>
      <c r="DA16">
        <v>1</v>
      </c>
      <c r="DB16">
        <v>0</v>
      </c>
      <c r="DC16">
        <v>0</v>
      </c>
      <c r="DD16">
        <v>2</v>
      </c>
      <c r="DE16">
        <v>0</v>
      </c>
      <c r="DF16">
        <v>0</v>
      </c>
      <c r="DG16">
        <v>2</v>
      </c>
      <c r="DH16">
        <v>2</v>
      </c>
      <c r="DI16">
        <v>2</v>
      </c>
      <c r="DJ16">
        <v>15</v>
      </c>
      <c r="DK16">
        <v>64</v>
      </c>
      <c r="DL16">
        <v>50</v>
      </c>
      <c r="DM16">
        <v>10</v>
      </c>
      <c r="DN16">
        <v>0</v>
      </c>
      <c r="DO16">
        <v>1</v>
      </c>
      <c r="DP16">
        <v>1</v>
      </c>
      <c r="DQ16">
        <v>0</v>
      </c>
      <c r="DR16">
        <v>0</v>
      </c>
      <c r="DS16">
        <v>0</v>
      </c>
      <c r="DT16">
        <v>0</v>
      </c>
      <c r="DU16">
        <v>2</v>
      </c>
      <c r="DV16">
        <v>64</v>
      </c>
      <c r="DW16">
        <v>6</v>
      </c>
      <c r="DX16">
        <v>2</v>
      </c>
      <c r="DY16">
        <v>0</v>
      </c>
      <c r="DZ16">
        <v>0</v>
      </c>
      <c r="EA16">
        <v>0</v>
      </c>
      <c r="EB16">
        <v>1</v>
      </c>
      <c r="EC16">
        <v>3</v>
      </c>
      <c r="ED16">
        <v>0</v>
      </c>
      <c r="EE16">
        <v>0</v>
      </c>
      <c r="EF16">
        <v>0</v>
      </c>
      <c r="EG16">
        <v>0</v>
      </c>
      <c r="EH16">
        <v>6</v>
      </c>
      <c r="EI16">
        <v>1</v>
      </c>
      <c r="EJ16">
        <v>0</v>
      </c>
      <c r="EK16">
        <v>1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2</v>
      </c>
      <c r="FF16">
        <v>1</v>
      </c>
      <c r="FG16">
        <v>0</v>
      </c>
      <c r="FH16">
        <v>1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2</v>
      </c>
    </row>
    <row r="17" spans="1:172" ht="14.25">
      <c r="A17">
        <v>12</v>
      </c>
      <c r="B17" t="str">
        <f t="shared" si="2"/>
        <v>100302</v>
      </c>
      <c r="C17" t="str">
        <f t="shared" si="3"/>
        <v>Łask</v>
      </c>
      <c r="D17" t="str">
        <f t="shared" si="0"/>
        <v>łaski</v>
      </c>
      <c r="E17" t="str">
        <f t="shared" si="1"/>
        <v>łódzkie</v>
      </c>
      <c r="F17">
        <v>7</v>
      </c>
      <c r="G17" t="str">
        <f>"Publiczne Gimnazjum Nr 2, Berlinga 1, 98-100 Łask"</f>
        <v>Publiczne Gimnazjum Nr 2, Berlinga 1, 98-100 Łask</v>
      </c>
      <c r="H17">
        <v>1201</v>
      </c>
      <c r="I17">
        <v>1201</v>
      </c>
      <c r="J17">
        <v>0</v>
      </c>
      <c r="K17">
        <v>840</v>
      </c>
      <c r="L17">
        <v>524</v>
      </c>
      <c r="M17">
        <v>316</v>
      </c>
      <c r="N17">
        <v>316</v>
      </c>
      <c r="O17">
        <v>0</v>
      </c>
      <c r="P17">
        <v>0</v>
      </c>
      <c r="Q17">
        <v>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316</v>
      </c>
      <c r="Z17">
        <v>0</v>
      </c>
      <c r="AA17">
        <v>0</v>
      </c>
      <c r="AB17">
        <v>316</v>
      </c>
      <c r="AC17">
        <v>11</v>
      </c>
      <c r="AD17">
        <v>305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28</v>
      </c>
      <c r="BD17">
        <v>20</v>
      </c>
      <c r="BE17">
        <v>2</v>
      </c>
      <c r="BF17">
        <v>0</v>
      </c>
      <c r="BG17">
        <v>2</v>
      </c>
      <c r="BH17">
        <v>0</v>
      </c>
      <c r="BI17">
        <v>1</v>
      </c>
      <c r="BJ17">
        <v>1</v>
      </c>
      <c r="BK17">
        <v>1</v>
      </c>
      <c r="BL17">
        <v>1</v>
      </c>
      <c r="BM17">
        <v>0</v>
      </c>
      <c r="BN17">
        <v>28</v>
      </c>
      <c r="BO17">
        <v>130</v>
      </c>
      <c r="BP17">
        <v>101</v>
      </c>
      <c r="BQ17">
        <v>10</v>
      </c>
      <c r="BR17">
        <v>4</v>
      </c>
      <c r="BS17">
        <v>8</v>
      </c>
      <c r="BT17">
        <v>1</v>
      </c>
      <c r="BU17">
        <v>0</v>
      </c>
      <c r="BV17">
        <v>2</v>
      </c>
      <c r="BW17">
        <v>1</v>
      </c>
      <c r="BX17">
        <v>0</v>
      </c>
      <c r="BY17">
        <v>3</v>
      </c>
      <c r="BZ17">
        <v>130</v>
      </c>
      <c r="CA17">
        <v>4</v>
      </c>
      <c r="CB17">
        <v>0</v>
      </c>
      <c r="CC17">
        <v>1</v>
      </c>
      <c r="CD17">
        <v>1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1</v>
      </c>
      <c r="CL17">
        <v>4</v>
      </c>
      <c r="CM17">
        <v>8</v>
      </c>
      <c r="CN17">
        <v>2</v>
      </c>
      <c r="CO17">
        <v>0</v>
      </c>
      <c r="CP17">
        <v>1</v>
      </c>
      <c r="CQ17">
        <v>0</v>
      </c>
      <c r="CR17">
        <v>0</v>
      </c>
      <c r="CS17">
        <v>0</v>
      </c>
      <c r="CT17">
        <v>5</v>
      </c>
      <c r="CU17">
        <v>0</v>
      </c>
      <c r="CV17">
        <v>0</v>
      </c>
      <c r="CW17">
        <v>0</v>
      </c>
      <c r="CX17">
        <v>8</v>
      </c>
      <c r="CY17">
        <v>17</v>
      </c>
      <c r="CZ17">
        <v>13</v>
      </c>
      <c r="DA17">
        <v>3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1</v>
      </c>
      <c r="DJ17">
        <v>17</v>
      </c>
      <c r="DK17">
        <v>104</v>
      </c>
      <c r="DL17">
        <v>78</v>
      </c>
      <c r="DM17">
        <v>10</v>
      </c>
      <c r="DN17">
        <v>1</v>
      </c>
      <c r="DO17">
        <v>10</v>
      </c>
      <c r="DP17">
        <v>0</v>
      </c>
      <c r="DQ17">
        <v>1</v>
      </c>
      <c r="DR17">
        <v>0</v>
      </c>
      <c r="DS17">
        <v>2</v>
      </c>
      <c r="DT17">
        <v>1</v>
      </c>
      <c r="DU17">
        <v>1</v>
      </c>
      <c r="DV17">
        <v>104</v>
      </c>
      <c r="DW17">
        <v>3</v>
      </c>
      <c r="DX17">
        <v>2</v>
      </c>
      <c r="DY17">
        <v>0</v>
      </c>
      <c r="DZ17">
        <v>0</v>
      </c>
      <c r="EA17">
        <v>0</v>
      </c>
      <c r="EB17">
        <v>0</v>
      </c>
      <c r="EC17">
        <v>1</v>
      </c>
      <c r="ED17">
        <v>0</v>
      </c>
      <c r="EE17">
        <v>0</v>
      </c>
      <c r="EF17">
        <v>0</v>
      </c>
      <c r="EG17">
        <v>0</v>
      </c>
      <c r="EH17">
        <v>3</v>
      </c>
      <c r="EI17">
        <v>5</v>
      </c>
      <c r="EJ17">
        <v>1</v>
      </c>
      <c r="EK17">
        <v>1</v>
      </c>
      <c r="EL17">
        <v>0</v>
      </c>
      <c r="EM17">
        <v>0</v>
      </c>
      <c r="EN17">
        <v>3</v>
      </c>
      <c r="EO17">
        <v>0</v>
      </c>
      <c r="EP17">
        <v>0</v>
      </c>
      <c r="EQ17">
        <v>0</v>
      </c>
      <c r="ER17">
        <v>5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6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1</v>
      </c>
      <c r="FL17">
        <v>1</v>
      </c>
      <c r="FM17">
        <v>1</v>
      </c>
      <c r="FN17">
        <v>0</v>
      </c>
      <c r="FO17">
        <v>3</v>
      </c>
      <c r="FP17">
        <v>6</v>
      </c>
    </row>
    <row r="18" spans="1:172" ht="14.25">
      <c r="A18">
        <v>13</v>
      </c>
      <c r="B18" t="str">
        <f t="shared" si="2"/>
        <v>100302</v>
      </c>
      <c r="C18" t="str">
        <f t="shared" si="3"/>
        <v>Łask</v>
      </c>
      <c r="D18" t="str">
        <f t="shared" si="0"/>
        <v>łaski</v>
      </c>
      <c r="E18" t="str">
        <f t="shared" si="1"/>
        <v>łódzkie</v>
      </c>
      <c r="F18">
        <v>8</v>
      </c>
      <c r="G18" t="str">
        <f>"Szkoła Podstawowa Nr 5, Szkolna 1, 98-100 Łask"</f>
        <v>Szkoła Podstawowa Nr 5, Szkolna 1, 98-100 Łask</v>
      </c>
      <c r="H18">
        <v>1791</v>
      </c>
      <c r="I18">
        <v>1791</v>
      </c>
      <c r="J18">
        <v>0</v>
      </c>
      <c r="K18">
        <v>1260</v>
      </c>
      <c r="L18">
        <v>786</v>
      </c>
      <c r="M18">
        <v>474</v>
      </c>
      <c r="N18">
        <v>474</v>
      </c>
      <c r="O18">
        <v>0</v>
      </c>
      <c r="P18">
        <v>1</v>
      </c>
      <c r="Q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473</v>
      </c>
      <c r="Z18">
        <v>0</v>
      </c>
      <c r="AA18">
        <v>0</v>
      </c>
      <c r="AB18">
        <v>473</v>
      </c>
      <c r="AC18">
        <v>13</v>
      </c>
      <c r="AD18">
        <v>460</v>
      </c>
      <c r="AE18">
        <v>10</v>
      </c>
      <c r="AF18">
        <v>3</v>
      </c>
      <c r="AG18">
        <v>1</v>
      </c>
      <c r="AH18">
        <v>0</v>
      </c>
      <c r="AI18">
        <v>3</v>
      </c>
      <c r="AJ18">
        <v>0</v>
      </c>
      <c r="AK18">
        <v>1</v>
      </c>
      <c r="AL18">
        <v>1</v>
      </c>
      <c r="AM18">
        <v>0</v>
      </c>
      <c r="AN18">
        <v>1</v>
      </c>
      <c r="AO18">
        <v>0</v>
      </c>
      <c r="AP18">
        <v>10</v>
      </c>
      <c r="AQ18">
        <v>9</v>
      </c>
      <c r="AR18">
        <v>6</v>
      </c>
      <c r="AS18">
        <v>2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9</v>
      </c>
      <c r="BC18">
        <v>52</v>
      </c>
      <c r="BD18">
        <v>22</v>
      </c>
      <c r="BE18">
        <v>13</v>
      </c>
      <c r="BF18">
        <v>0</v>
      </c>
      <c r="BG18">
        <v>2</v>
      </c>
      <c r="BH18">
        <v>0</v>
      </c>
      <c r="BI18">
        <v>5</v>
      </c>
      <c r="BJ18">
        <v>1</v>
      </c>
      <c r="BK18">
        <v>0</v>
      </c>
      <c r="BL18">
        <v>2</v>
      </c>
      <c r="BM18">
        <v>7</v>
      </c>
      <c r="BN18">
        <v>52</v>
      </c>
      <c r="BO18">
        <v>157</v>
      </c>
      <c r="BP18">
        <v>122</v>
      </c>
      <c r="BQ18">
        <v>9</v>
      </c>
      <c r="BR18">
        <v>4</v>
      </c>
      <c r="BS18">
        <v>7</v>
      </c>
      <c r="BT18">
        <v>1</v>
      </c>
      <c r="BU18">
        <v>3</v>
      </c>
      <c r="BV18">
        <v>6</v>
      </c>
      <c r="BW18">
        <v>1</v>
      </c>
      <c r="BX18">
        <v>0</v>
      </c>
      <c r="BY18">
        <v>4</v>
      </c>
      <c r="BZ18">
        <v>157</v>
      </c>
      <c r="CA18">
        <v>11</v>
      </c>
      <c r="CB18">
        <v>2</v>
      </c>
      <c r="CC18">
        <v>0</v>
      </c>
      <c r="CD18">
        <v>0</v>
      </c>
      <c r="CE18">
        <v>3</v>
      </c>
      <c r="CF18">
        <v>1</v>
      </c>
      <c r="CG18">
        <v>0</v>
      </c>
      <c r="CH18">
        <v>0</v>
      </c>
      <c r="CI18">
        <v>2</v>
      </c>
      <c r="CJ18">
        <v>0</v>
      </c>
      <c r="CK18">
        <v>3</v>
      </c>
      <c r="CL18">
        <v>11</v>
      </c>
      <c r="CM18">
        <v>5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1</v>
      </c>
      <c r="CU18">
        <v>0</v>
      </c>
      <c r="CV18">
        <v>0</v>
      </c>
      <c r="CW18">
        <v>0</v>
      </c>
      <c r="CX18">
        <v>5</v>
      </c>
      <c r="CY18">
        <v>61</v>
      </c>
      <c r="CZ18">
        <v>38</v>
      </c>
      <c r="DA18">
        <v>4</v>
      </c>
      <c r="DB18">
        <v>3</v>
      </c>
      <c r="DC18">
        <v>2</v>
      </c>
      <c r="DD18">
        <v>2</v>
      </c>
      <c r="DE18">
        <v>1</v>
      </c>
      <c r="DF18">
        <v>3</v>
      </c>
      <c r="DG18">
        <v>2</v>
      </c>
      <c r="DH18">
        <v>3</v>
      </c>
      <c r="DI18">
        <v>3</v>
      </c>
      <c r="DJ18">
        <v>61</v>
      </c>
      <c r="DK18">
        <v>136</v>
      </c>
      <c r="DL18">
        <v>100</v>
      </c>
      <c r="DM18">
        <v>13</v>
      </c>
      <c r="DN18">
        <v>1</v>
      </c>
      <c r="DO18">
        <v>15</v>
      </c>
      <c r="DP18">
        <v>1</v>
      </c>
      <c r="DQ18">
        <v>1</v>
      </c>
      <c r="DR18">
        <v>1</v>
      </c>
      <c r="DS18">
        <v>0</v>
      </c>
      <c r="DT18">
        <v>0</v>
      </c>
      <c r="DU18">
        <v>4</v>
      </c>
      <c r="DV18">
        <v>136</v>
      </c>
      <c r="DW18">
        <v>11</v>
      </c>
      <c r="DX18">
        <v>6</v>
      </c>
      <c r="DY18">
        <v>0</v>
      </c>
      <c r="DZ18">
        <v>0</v>
      </c>
      <c r="EA18">
        <v>4</v>
      </c>
      <c r="EB18">
        <v>0</v>
      </c>
      <c r="EC18">
        <v>0</v>
      </c>
      <c r="ED18">
        <v>0</v>
      </c>
      <c r="EE18">
        <v>1</v>
      </c>
      <c r="EF18">
        <v>0</v>
      </c>
      <c r="EG18">
        <v>0</v>
      </c>
      <c r="EH18">
        <v>11</v>
      </c>
      <c r="EI18">
        <v>3</v>
      </c>
      <c r="EJ18">
        <v>2</v>
      </c>
      <c r="EK18">
        <v>0</v>
      </c>
      <c r="EL18">
        <v>0</v>
      </c>
      <c r="EM18">
        <v>1</v>
      </c>
      <c r="EN18">
        <v>0</v>
      </c>
      <c r="EO18">
        <v>0</v>
      </c>
      <c r="EP18">
        <v>0</v>
      </c>
      <c r="EQ18">
        <v>0</v>
      </c>
      <c r="ER18">
        <v>3</v>
      </c>
      <c r="ES18">
        <v>2</v>
      </c>
      <c r="ET18">
        <v>0</v>
      </c>
      <c r="EU18">
        <v>0</v>
      </c>
      <c r="EV18">
        <v>1</v>
      </c>
      <c r="EW18">
        <v>0</v>
      </c>
      <c r="EX18">
        <v>0</v>
      </c>
      <c r="EY18">
        <v>0</v>
      </c>
      <c r="EZ18">
        <v>0</v>
      </c>
      <c r="FA18">
        <v>1</v>
      </c>
      <c r="FB18">
        <v>0</v>
      </c>
      <c r="FC18">
        <v>0</v>
      </c>
      <c r="FD18">
        <v>2</v>
      </c>
      <c r="FE18">
        <v>3</v>
      </c>
      <c r="FF18">
        <v>0</v>
      </c>
      <c r="FG18">
        <v>0</v>
      </c>
      <c r="FH18">
        <v>2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1</v>
      </c>
      <c r="FP18">
        <v>3</v>
      </c>
    </row>
    <row r="19" spans="1:172" ht="14.25">
      <c r="A19">
        <v>14</v>
      </c>
      <c r="B19" t="str">
        <f t="shared" si="2"/>
        <v>100302</v>
      </c>
      <c r="C19" t="str">
        <f t="shared" si="3"/>
        <v>Łask</v>
      </c>
      <c r="D19" t="str">
        <f t="shared" si="0"/>
        <v>łaski</v>
      </c>
      <c r="E19" t="str">
        <f t="shared" si="1"/>
        <v>łódzkie</v>
      </c>
      <c r="F19">
        <v>9</v>
      </c>
      <c r="G19" t="str">
        <f>"Zespół Szkół Ogólnokształcących, Toruńska 1, 98-100 Łask"</f>
        <v>Zespół Szkół Ogólnokształcących, Toruńska 1, 98-100 Łask</v>
      </c>
      <c r="H19">
        <v>1299</v>
      </c>
      <c r="I19">
        <v>1299</v>
      </c>
      <c r="J19">
        <v>0</v>
      </c>
      <c r="K19">
        <v>910</v>
      </c>
      <c r="L19">
        <v>607</v>
      </c>
      <c r="M19">
        <v>303</v>
      </c>
      <c r="N19">
        <v>303</v>
      </c>
      <c r="O19">
        <v>0</v>
      </c>
      <c r="P19">
        <v>0</v>
      </c>
      <c r="Q19">
        <v>10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303</v>
      </c>
      <c r="Z19">
        <v>0</v>
      </c>
      <c r="AA19">
        <v>0</v>
      </c>
      <c r="AB19">
        <v>303</v>
      </c>
      <c r="AC19">
        <v>9</v>
      </c>
      <c r="AD19">
        <v>294</v>
      </c>
      <c r="AE19">
        <v>8</v>
      </c>
      <c r="AF19">
        <v>1</v>
      </c>
      <c r="AG19">
        <v>2</v>
      </c>
      <c r="AH19">
        <v>2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2</v>
      </c>
      <c r="AO19">
        <v>0</v>
      </c>
      <c r="AP19">
        <v>8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23</v>
      </c>
      <c r="BD19">
        <v>13</v>
      </c>
      <c r="BE19">
        <v>5</v>
      </c>
      <c r="BF19">
        <v>0</v>
      </c>
      <c r="BG19">
        <v>2</v>
      </c>
      <c r="BH19">
        <v>0</v>
      </c>
      <c r="BI19">
        <v>1</v>
      </c>
      <c r="BJ19">
        <v>0</v>
      </c>
      <c r="BK19">
        <v>0</v>
      </c>
      <c r="BL19">
        <v>2</v>
      </c>
      <c r="BM19">
        <v>0</v>
      </c>
      <c r="BN19">
        <v>23</v>
      </c>
      <c r="BO19">
        <v>93</v>
      </c>
      <c r="BP19">
        <v>67</v>
      </c>
      <c r="BQ19">
        <v>4</v>
      </c>
      <c r="BR19">
        <v>4</v>
      </c>
      <c r="BS19">
        <v>7</v>
      </c>
      <c r="BT19">
        <v>1</v>
      </c>
      <c r="BU19">
        <v>2</v>
      </c>
      <c r="BV19">
        <v>1</v>
      </c>
      <c r="BW19">
        <v>0</v>
      </c>
      <c r="BX19">
        <v>1</v>
      </c>
      <c r="BY19">
        <v>6</v>
      </c>
      <c r="BZ19">
        <v>93</v>
      </c>
      <c r="CA19">
        <v>12</v>
      </c>
      <c r="CB19">
        <v>2</v>
      </c>
      <c r="CC19">
        <v>2</v>
      </c>
      <c r="CD19">
        <v>3</v>
      </c>
      <c r="CE19">
        <v>2</v>
      </c>
      <c r="CF19">
        <v>0</v>
      </c>
      <c r="CG19">
        <v>0</v>
      </c>
      <c r="CH19">
        <v>0</v>
      </c>
      <c r="CI19">
        <v>0</v>
      </c>
      <c r="CJ19">
        <v>2</v>
      </c>
      <c r="CK19">
        <v>1</v>
      </c>
      <c r="CL19">
        <v>12</v>
      </c>
      <c r="CM19">
        <v>6</v>
      </c>
      <c r="CN19">
        <v>4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</v>
      </c>
      <c r="CU19">
        <v>0</v>
      </c>
      <c r="CV19">
        <v>0</v>
      </c>
      <c r="CW19">
        <v>0</v>
      </c>
      <c r="CX19">
        <v>6</v>
      </c>
      <c r="CY19">
        <v>27</v>
      </c>
      <c r="CZ19">
        <v>16</v>
      </c>
      <c r="DA19">
        <v>2</v>
      </c>
      <c r="DB19">
        <v>0</v>
      </c>
      <c r="DC19">
        <v>1</v>
      </c>
      <c r="DD19">
        <v>1</v>
      </c>
      <c r="DE19">
        <v>1</v>
      </c>
      <c r="DF19">
        <v>1</v>
      </c>
      <c r="DG19">
        <v>2</v>
      </c>
      <c r="DH19">
        <v>1</v>
      </c>
      <c r="DI19">
        <v>2</v>
      </c>
      <c r="DJ19">
        <v>27</v>
      </c>
      <c r="DK19">
        <v>114</v>
      </c>
      <c r="DL19">
        <v>88</v>
      </c>
      <c r="DM19">
        <v>14</v>
      </c>
      <c r="DN19">
        <v>3</v>
      </c>
      <c r="DO19">
        <v>0</v>
      </c>
      <c r="DP19">
        <v>0</v>
      </c>
      <c r="DQ19">
        <v>1</v>
      </c>
      <c r="DR19">
        <v>0</v>
      </c>
      <c r="DS19">
        <v>2</v>
      </c>
      <c r="DT19">
        <v>1</v>
      </c>
      <c r="DU19">
        <v>5</v>
      </c>
      <c r="DV19">
        <v>114</v>
      </c>
      <c r="DW19">
        <v>6</v>
      </c>
      <c r="DX19">
        <v>2</v>
      </c>
      <c r="DY19">
        <v>3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1</v>
      </c>
      <c r="EF19">
        <v>0</v>
      </c>
      <c r="EG19">
        <v>0</v>
      </c>
      <c r="EH19">
        <v>6</v>
      </c>
      <c r="EI19">
        <v>3</v>
      </c>
      <c r="EJ19">
        <v>0</v>
      </c>
      <c r="EK19">
        <v>3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3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2</v>
      </c>
      <c r="FF19">
        <v>0</v>
      </c>
      <c r="FG19">
        <v>1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1</v>
      </c>
      <c r="FP19">
        <v>2</v>
      </c>
    </row>
    <row r="20" spans="1:172" ht="14.25">
      <c r="A20">
        <v>15</v>
      </c>
      <c r="B20" t="str">
        <f t="shared" si="2"/>
        <v>100302</v>
      </c>
      <c r="C20" t="str">
        <f t="shared" si="3"/>
        <v>Łask</v>
      </c>
      <c r="D20" t="str">
        <f t="shared" si="0"/>
        <v>łaski</v>
      </c>
      <c r="E20" t="str">
        <f t="shared" si="1"/>
        <v>łódzkie</v>
      </c>
      <c r="F20">
        <v>10</v>
      </c>
      <c r="G20" t="str">
        <f>"Przedszkole Publiczne Nr 4, Łączna 1, 98-100 Łask"</f>
        <v>Przedszkole Publiczne Nr 4, Łączna 1, 98-100 Łask</v>
      </c>
      <c r="H20">
        <v>1213</v>
      </c>
      <c r="I20">
        <v>1212</v>
      </c>
      <c r="J20">
        <v>1</v>
      </c>
      <c r="K20">
        <v>850</v>
      </c>
      <c r="L20">
        <v>575</v>
      </c>
      <c r="M20">
        <v>275</v>
      </c>
      <c r="N20">
        <v>275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275</v>
      </c>
      <c r="Z20">
        <v>0</v>
      </c>
      <c r="AA20">
        <v>0</v>
      </c>
      <c r="AB20">
        <v>275</v>
      </c>
      <c r="AC20">
        <v>6</v>
      </c>
      <c r="AD20">
        <v>269</v>
      </c>
      <c r="AE20">
        <v>2</v>
      </c>
      <c r="AF20">
        <v>1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15</v>
      </c>
      <c r="BD20">
        <v>9</v>
      </c>
      <c r="BE20">
        <v>1</v>
      </c>
      <c r="BF20">
        <v>4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0</v>
      </c>
      <c r="BN20">
        <v>15</v>
      </c>
      <c r="BO20">
        <v>97</v>
      </c>
      <c r="BP20">
        <v>85</v>
      </c>
      <c r="BQ20">
        <v>4</v>
      </c>
      <c r="BR20">
        <v>4</v>
      </c>
      <c r="BS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3</v>
      </c>
      <c r="BZ20">
        <v>97</v>
      </c>
      <c r="CA20">
        <v>3</v>
      </c>
      <c r="CB20">
        <v>1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2</v>
      </c>
      <c r="CK20">
        <v>0</v>
      </c>
      <c r="CL20">
        <v>3</v>
      </c>
      <c r="CM20">
        <v>2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0</v>
      </c>
      <c r="CW20">
        <v>0</v>
      </c>
      <c r="CX20">
        <v>2</v>
      </c>
      <c r="CY20">
        <v>16</v>
      </c>
      <c r="CZ20">
        <v>11</v>
      </c>
      <c r="DA20">
        <v>1</v>
      </c>
      <c r="DB20">
        <v>1</v>
      </c>
      <c r="DC20">
        <v>1</v>
      </c>
      <c r="DD20">
        <v>1</v>
      </c>
      <c r="DE20">
        <v>0</v>
      </c>
      <c r="DF20">
        <v>1</v>
      </c>
      <c r="DG20">
        <v>0</v>
      </c>
      <c r="DH20">
        <v>0</v>
      </c>
      <c r="DI20">
        <v>0</v>
      </c>
      <c r="DJ20">
        <v>16</v>
      </c>
      <c r="DK20">
        <v>125</v>
      </c>
      <c r="DL20">
        <v>91</v>
      </c>
      <c r="DM20">
        <v>21</v>
      </c>
      <c r="DN20">
        <v>0</v>
      </c>
      <c r="DO20">
        <v>4</v>
      </c>
      <c r="DP20">
        <v>3</v>
      </c>
      <c r="DQ20">
        <v>1</v>
      </c>
      <c r="DR20">
        <v>0</v>
      </c>
      <c r="DS20">
        <v>0</v>
      </c>
      <c r="DT20">
        <v>0</v>
      </c>
      <c r="DU20">
        <v>5</v>
      </c>
      <c r="DV20">
        <v>125</v>
      </c>
      <c r="DW20">
        <v>6</v>
      </c>
      <c r="DX20">
        <v>4</v>
      </c>
      <c r="DY20">
        <v>2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6</v>
      </c>
      <c r="EI20">
        <v>1</v>
      </c>
      <c r="EJ20">
        <v>0</v>
      </c>
      <c r="EK20">
        <v>1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1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1</v>
      </c>
      <c r="FF20">
        <v>0</v>
      </c>
      <c r="FG20">
        <v>1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1</v>
      </c>
    </row>
    <row r="21" spans="1:172" ht="14.25">
      <c r="A21">
        <v>16</v>
      </c>
      <c r="B21" t="str">
        <f t="shared" si="2"/>
        <v>100302</v>
      </c>
      <c r="C21" t="str">
        <f t="shared" si="3"/>
        <v>Łask</v>
      </c>
      <c r="D21" t="str">
        <f t="shared" si="0"/>
        <v>łaski</v>
      </c>
      <c r="E21" t="str">
        <f t="shared" si="1"/>
        <v>łódzkie</v>
      </c>
      <c r="F21">
        <v>11</v>
      </c>
      <c r="G21" t="str">
        <f>"Przedszkole Publiczne Nr 4, Łączna 1, 98-100 Łask"</f>
        <v>Przedszkole Publiczne Nr 4, Łączna 1, 98-100 Łask</v>
      </c>
      <c r="H21">
        <v>1210</v>
      </c>
      <c r="I21">
        <v>1210</v>
      </c>
      <c r="J21">
        <v>0</v>
      </c>
      <c r="K21">
        <v>850</v>
      </c>
      <c r="L21">
        <v>545</v>
      </c>
      <c r="M21">
        <v>305</v>
      </c>
      <c r="N21">
        <v>305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305</v>
      </c>
      <c r="Z21">
        <v>0</v>
      </c>
      <c r="AA21">
        <v>0</v>
      </c>
      <c r="AB21">
        <v>305</v>
      </c>
      <c r="AC21">
        <v>14</v>
      </c>
      <c r="AD21">
        <v>291</v>
      </c>
      <c r="AE21">
        <v>5</v>
      </c>
      <c r="AF21">
        <v>3</v>
      </c>
      <c r="AG21">
        <v>0</v>
      </c>
      <c r="AH21">
        <v>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5</v>
      </c>
      <c r="AQ21">
        <v>3</v>
      </c>
      <c r="AR21">
        <v>2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3</v>
      </c>
      <c r="BC21">
        <v>31</v>
      </c>
      <c r="BD21">
        <v>22</v>
      </c>
      <c r="BE21">
        <v>2</v>
      </c>
      <c r="BF21">
        <v>0</v>
      </c>
      <c r="BG21">
        <v>1</v>
      </c>
      <c r="BH21">
        <v>0</v>
      </c>
      <c r="BI21">
        <v>1</v>
      </c>
      <c r="BJ21">
        <v>1</v>
      </c>
      <c r="BK21">
        <v>0</v>
      </c>
      <c r="BL21">
        <v>1</v>
      </c>
      <c r="BM21">
        <v>3</v>
      </c>
      <c r="BN21">
        <v>31</v>
      </c>
      <c r="BO21">
        <v>112</v>
      </c>
      <c r="BP21">
        <v>90</v>
      </c>
      <c r="BQ21">
        <v>5</v>
      </c>
      <c r="BR21">
        <v>5</v>
      </c>
      <c r="BS21">
        <v>8</v>
      </c>
      <c r="BT21">
        <v>0</v>
      </c>
      <c r="BU21">
        <v>0</v>
      </c>
      <c r="BV21">
        <v>1</v>
      </c>
      <c r="BW21">
        <v>1</v>
      </c>
      <c r="BX21">
        <v>0</v>
      </c>
      <c r="BY21">
        <v>2</v>
      </c>
      <c r="BZ21">
        <v>112</v>
      </c>
      <c r="CA21">
        <v>4</v>
      </c>
      <c r="CB21">
        <v>1</v>
      </c>
      <c r="CC21">
        <v>0</v>
      </c>
      <c r="CD21">
        <v>2</v>
      </c>
      <c r="CE21">
        <v>0</v>
      </c>
      <c r="CF21">
        <v>0</v>
      </c>
      <c r="CG21">
        <v>0</v>
      </c>
      <c r="CH21">
        <v>1</v>
      </c>
      <c r="CI21">
        <v>0</v>
      </c>
      <c r="CJ21">
        <v>0</v>
      </c>
      <c r="CK21">
        <v>0</v>
      </c>
      <c r="CL21">
        <v>4</v>
      </c>
      <c r="CM21">
        <v>11</v>
      </c>
      <c r="CN21">
        <v>7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2</v>
      </c>
      <c r="CU21">
        <v>0</v>
      </c>
      <c r="CV21">
        <v>0</v>
      </c>
      <c r="CW21">
        <v>0</v>
      </c>
      <c r="CX21">
        <v>11</v>
      </c>
      <c r="CY21">
        <v>23</v>
      </c>
      <c r="CZ21">
        <v>16</v>
      </c>
      <c r="DA21">
        <v>1</v>
      </c>
      <c r="DB21">
        <v>0</v>
      </c>
      <c r="DC21">
        <v>1</v>
      </c>
      <c r="DD21">
        <v>0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23</v>
      </c>
      <c r="DK21">
        <v>91</v>
      </c>
      <c r="DL21">
        <v>66</v>
      </c>
      <c r="DM21">
        <v>8</v>
      </c>
      <c r="DN21">
        <v>3</v>
      </c>
      <c r="DO21">
        <v>4</v>
      </c>
      <c r="DP21">
        <v>0</v>
      </c>
      <c r="DQ21">
        <v>1</v>
      </c>
      <c r="DR21">
        <v>0</v>
      </c>
      <c r="DS21">
        <v>1</v>
      </c>
      <c r="DT21">
        <v>3</v>
      </c>
      <c r="DU21">
        <v>5</v>
      </c>
      <c r="DV21">
        <v>91</v>
      </c>
      <c r="DW21">
        <v>6</v>
      </c>
      <c r="DX21">
        <v>3</v>
      </c>
      <c r="DY21">
        <v>0</v>
      </c>
      <c r="DZ21">
        <v>0</v>
      </c>
      <c r="EA21">
        <v>1</v>
      </c>
      <c r="EB21">
        <v>0</v>
      </c>
      <c r="EC21">
        <v>0</v>
      </c>
      <c r="ED21">
        <v>0</v>
      </c>
      <c r="EE21">
        <v>2</v>
      </c>
      <c r="EF21">
        <v>0</v>
      </c>
      <c r="EG21">
        <v>0</v>
      </c>
      <c r="EH21">
        <v>6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5</v>
      </c>
      <c r="FF21">
        <v>1</v>
      </c>
      <c r="FG21">
        <v>2</v>
      </c>
      <c r="FH21">
        <v>1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5</v>
      </c>
    </row>
    <row r="22" spans="1:172" ht="14.25">
      <c r="A22">
        <v>17</v>
      </c>
      <c r="B22" t="str">
        <f t="shared" si="2"/>
        <v>100302</v>
      </c>
      <c r="C22" t="str">
        <f t="shared" si="3"/>
        <v>Łask</v>
      </c>
      <c r="D22" t="str">
        <f t="shared" si="0"/>
        <v>łaski</v>
      </c>
      <c r="E22" t="str">
        <f t="shared" si="1"/>
        <v>łódzkie</v>
      </c>
      <c r="F22">
        <v>12</v>
      </c>
      <c r="G22" t="str">
        <f>"Niepubliczna Szkoła Podstawowa w Teodorach, Teodory 62, 98-100 Łask"</f>
        <v>Niepubliczna Szkoła Podstawowa w Teodorach, Teodory 62, 98-100 Łask</v>
      </c>
      <c r="H22">
        <v>1285</v>
      </c>
      <c r="I22">
        <v>1285</v>
      </c>
      <c r="J22">
        <v>0</v>
      </c>
      <c r="K22">
        <v>899</v>
      </c>
      <c r="L22">
        <v>576</v>
      </c>
      <c r="M22">
        <v>323</v>
      </c>
      <c r="N22">
        <v>323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323</v>
      </c>
      <c r="Z22">
        <v>0</v>
      </c>
      <c r="AA22">
        <v>0</v>
      </c>
      <c r="AB22">
        <v>323</v>
      </c>
      <c r="AC22">
        <v>13</v>
      </c>
      <c r="AD22">
        <v>310</v>
      </c>
      <c r="AE22">
        <v>4</v>
      </c>
      <c r="AF22">
        <v>3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4</v>
      </c>
      <c r="AQ22">
        <v>7</v>
      </c>
      <c r="AR22">
        <v>4</v>
      </c>
      <c r="AS22">
        <v>1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1</v>
      </c>
      <c r="AZ22">
        <v>0</v>
      </c>
      <c r="BA22">
        <v>0</v>
      </c>
      <c r="BB22">
        <v>7</v>
      </c>
      <c r="BC22">
        <v>33</v>
      </c>
      <c r="BD22">
        <v>14</v>
      </c>
      <c r="BE22">
        <v>4</v>
      </c>
      <c r="BF22">
        <v>5</v>
      </c>
      <c r="BG22">
        <v>2</v>
      </c>
      <c r="BH22">
        <v>0</v>
      </c>
      <c r="BI22">
        <v>0</v>
      </c>
      <c r="BJ22">
        <v>2</v>
      </c>
      <c r="BK22">
        <v>2</v>
      </c>
      <c r="BL22">
        <v>0</v>
      </c>
      <c r="BM22">
        <v>4</v>
      </c>
      <c r="BN22">
        <v>33</v>
      </c>
      <c r="BO22">
        <v>99</v>
      </c>
      <c r="BP22">
        <v>81</v>
      </c>
      <c r="BQ22">
        <v>4</v>
      </c>
      <c r="BR22">
        <v>4</v>
      </c>
      <c r="BS22">
        <v>3</v>
      </c>
      <c r="BT22">
        <v>0</v>
      </c>
      <c r="BU22">
        <v>0</v>
      </c>
      <c r="BV22">
        <v>1</v>
      </c>
      <c r="BW22">
        <v>1</v>
      </c>
      <c r="BX22">
        <v>1</v>
      </c>
      <c r="BY22">
        <v>4</v>
      </c>
      <c r="BZ22">
        <v>99</v>
      </c>
      <c r="CA22">
        <v>6</v>
      </c>
      <c r="CB22">
        <v>1</v>
      </c>
      <c r="CC22">
        <v>0</v>
      </c>
      <c r="CD22">
        <v>0</v>
      </c>
      <c r="CE22">
        <v>0</v>
      </c>
      <c r="CF22">
        <v>1</v>
      </c>
      <c r="CG22">
        <v>2</v>
      </c>
      <c r="CH22">
        <v>0</v>
      </c>
      <c r="CI22">
        <v>1</v>
      </c>
      <c r="CJ22">
        <v>1</v>
      </c>
      <c r="CK22">
        <v>0</v>
      </c>
      <c r="CL22">
        <v>6</v>
      </c>
      <c r="CM22">
        <v>11</v>
      </c>
      <c r="CN22">
        <v>5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5</v>
      </c>
      <c r="CU22">
        <v>0</v>
      </c>
      <c r="CV22">
        <v>0</v>
      </c>
      <c r="CW22">
        <v>0</v>
      </c>
      <c r="CX22">
        <v>11</v>
      </c>
      <c r="CY22">
        <v>22</v>
      </c>
      <c r="CZ22">
        <v>15</v>
      </c>
      <c r="DA22">
        <v>0</v>
      </c>
      <c r="DB22">
        <v>2</v>
      </c>
      <c r="DC22">
        <v>1</v>
      </c>
      <c r="DD22">
        <v>0</v>
      </c>
      <c r="DE22">
        <v>0</v>
      </c>
      <c r="DF22">
        <v>0</v>
      </c>
      <c r="DG22">
        <v>1</v>
      </c>
      <c r="DH22">
        <v>2</v>
      </c>
      <c r="DI22">
        <v>1</v>
      </c>
      <c r="DJ22">
        <v>22</v>
      </c>
      <c r="DK22">
        <v>93</v>
      </c>
      <c r="DL22">
        <v>65</v>
      </c>
      <c r="DM22">
        <v>10</v>
      </c>
      <c r="DN22">
        <v>1</v>
      </c>
      <c r="DO22">
        <v>12</v>
      </c>
      <c r="DP22">
        <v>0</v>
      </c>
      <c r="DQ22">
        <v>1</v>
      </c>
      <c r="DR22">
        <v>0</v>
      </c>
      <c r="DS22">
        <v>0</v>
      </c>
      <c r="DT22">
        <v>0</v>
      </c>
      <c r="DU22">
        <v>4</v>
      </c>
      <c r="DV22">
        <v>93</v>
      </c>
      <c r="DW22">
        <v>22</v>
      </c>
      <c r="DX22">
        <v>10</v>
      </c>
      <c r="DY22">
        <v>3</v>
      </c>
      <c r="DZ22">
        <v>1</v>
      </c>
      <c r="EA22">
        <v>0</v>
      </c>
      <c r="EB22">
        <v>2</v>
      </c>
      <c r="EC22">
        <v>0</v>
      </c>
      <c r="ED22">
        <v>3</v>
      </c>
      <c r="EE22">
        <v>0</v>
      </c>
      <c r="EF22">
        <v>2</v>
      </c>
      <c r="EG22">
        <v>1</v>
      </c>
      <c r="EH22">
        <v>22</v>
      </c>
      <c r="EI22">
        <v>3</v>
      </c>
      <c r="EJ22">
        <v>0</v>
      </c>
      <c r="EK22">
        <v>2</v>
      </c>
      <c r="EL22">
        <v>0</v>
      </c>
      <c r="EM22">
        <v>1</v>
      </c>
      <c r="EN22">
        <v>0</v>
      </c>
      <c r="EO22">
        <v>0</v>
      </c>
      <c r="EP22">
        <v>0</v>
      </c>
      <c r="EQ22">
        <v>0</v>
      </c>
      <c r="ER22">
        <v>3</v>
      </c>
      <c r="ES22">
        <v>2</v>
      </c>
      <c r="ET22">
        <v>1</v>
      </c>
      <c r="EU22">
        <v>1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2</v>
      </c>
      <c r="FE22">
        <v>8</v>
      </c>
      <c r="FF22">
        <v>0</v>
      </c>
      <c r="FG22">
        <v>0</v>
      </c>
      <c r="FH22">
        <v>7</v>
      </c>
      <c r="FI22">
        <v>0</v>
      </c>
      <c r="FJ22">
        <v>0</v>
      </c>
      <c r="FK22">
        <v>1</v>
      </c>
      <c r="FL22">
        <v>0</v>
      </c>
      <c r="FM22">
        <v>0</v>
      </c>
      <c r="FN22">
        <v>0</v>
      </c>
      <c r="FO22">
        <v>0</v>
      </c>
      <c r="FP22">
        <v>8</v>
      </c>
    </row>
    <row r="23" spans="1:172" ht="14.25">
      <c r="A23">
        <v>18</v>
      </c>
      <c r="B23" t="str">
        <f t="shared" si="2"/>
        <v>100302</v>
      </c>
      <c r="C23" t="str">
        <f t="shared" si="3"/>
        <v>Łask</v>
      </c>
      <c r="D23" t="str">
        <f t="shared" si="0"/>
        <v>łaski</v>
      </c>
      <c r="E23" t="str">
        <f t="shared" si="1"/>
        <v>łódzkie</v>
      </c>
      <c r="F23">
        <v>13</v>
      </c>
      <c r="G23" t="str">
        <f>"Szkoła Podstawowa Nr 1, 9 Maja 12, 98-100 Łask"</f>
        <v>Szkoła Podstawowa Nr 1, 9 Maja 12, 98-100 Łask</v>
      </c>
      <c r="H23">
        <v>795</v>
      </c>
      <c r="I23">
        <v>795</v>
      </c>
      <c r="J23">
        <v>0</v>
      </c>
      <c r="K23">
        <v>560</v>
      </c>
      <c r="L23">
        <v>384</v>
      </c>
      <c r="M23">
        <v>176</v>
      </c>
      <c r="N23">
        <v>176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176</v>
      </c>
      <c r="Z23">
        <v>0</v>
      </c>
      <c r="AA23">
        <v>0</v>
      </c>
      <c r="AB23">
        <v>176</v>
      </c>
      <c r="AC23">
        <v>4</v>
      </c>
      <c r="AD23">
        <v>172</v>
      </c>
      <c r="AE23">
        <v>6</v>
      </c>
      <c r="AF23">
        <v>4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6</v>
      </c>
      <c r="AQ23">
        <v>2</v>
      </c>
      <c r="AR23">
        <v>2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2</v>
      </c>
      <c r="BC23">
        <v>8</v>
      </c>
      <c r="BD23">
        <v>4</v>
      </c>
      <c r="BE23">
        <v>3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8</v>
      </c>
      <c r="BO23">
        <v>70</v>
      </c>
      <c r="BP23">
        <v>61</v>
      </c>
      <c r="BQ23">
        <v>3</v>
      </c>
      <c r="BR23">
        <v>4</v>
      </c>
      <c r="BS23">
        <v>1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0</v>
      </c>
      <c r="BZ23">
        <v>70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12</v>
      </c>
      <c r="CN23">
        <v>2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10</v>
      </c>
      <c r="CU23">
        <v>0</v>
      </c>
      <c r="CV23">
        <v>0</v>
      </c>
      <c r="CW23">
        <v>0</v>
      </c>
      <c r="CX23">
        <v>12</v>
      </c>
      <c r="CY23">
        <v>16</v>
      </c>
      <c r="CZ23">
        <v>9</v>
      </c>
      <c r="DA23">
        <v>2</v>
      </c>
      <c r="DB23">
        <v>0</v>
      </c>
      <c r="DC23">
        <v>0</v>
      </c>
      <c r="DD23">
        <v>0</v>
      </c>
      <c r="DE23">
        <v>1</v>
      </c>
      <c r="DF23">
        <v>3</v>
      </c>
      <c r="DG23">
        <v>0</v>
      </c>
      <c r="DH23">
        <v>0</v>
      </c>
      <c r="DI23">
        <v>1</v>
      </c>
      <c r="DJ23">
        <v>16</v>
      </c>
      <c r="DK23">
        <v>38</v>
      </c>
      <c r="DL23">
        <v>25</v>
      </c>
      <c r="DM23">
        <v>7</v>
      </c>
      <c r="DN23">
        <v>1</v>
      </c>
      <c r="DO23">
        <v>3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2</v>
      </c>
      <c r="DV23">
        <v>38</v>
      </c>
      <c r="DW23">
        <v>17</v>
      </c>
      <c r="DX23">
        <v>4</v>
      </c>
      <c r="DY23">
        <v>0</v>
      </c>
      <c r="DZ23">
        <v>0</v>
      </c>
      <c r="EA23">
        <v>1</v>
      </c>
      <c r="EB23">
        <v>1</v>
      </c>
      <c r="EC23">
        <v>7</v>
      </c>
      <c r="ED23">
        <v>1</v>
      </c>
      <c r="EE23">
        <v>1</v>
      </c>
      <c r="EF23">
        <v>0</v>
      </c>
      <c r="EG23">
        <v>2</v>
      </c>
      <c r="EH23">
        <v>17</v>
      </c>
      <c r="EI23">
        <v>1</v>
      </c>
      <c r="EJ23">
        <v>0</v>
      </c>
      <c r="EK23">
        <v>1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1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2</v>
      </c>
      <c r="FF23">
        <v>0</v>
      </c>
      <c r="FG23">
        <v>0</v>
      </c>
      <c r="FH23">
        <v>2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2</v>
      </c>
    </row>
    <row r="24" spans="1:172" ht="14.25">
      <c r="A24">
        <v>19</v>
      </c>
      <c r="B24" t="str">
        <f t="shared" si="2"/>
        <v>100302</v>
      </c>
      <c r="C24" t="str">
        <f t="shared" si="3"/>
        <v>Łask</v>
      </c>
      <c r="D24" t="str">
        <f t="shared" si="0"/>
        <v>łaski</v>
      </c>
      <c r="E24" t="str">
        <f t="shared" si="1"/>
        <v>łódzkie</v>
      </c>
      <c r="F24">
        <v>14</v>
      </c>
      <c r="G24" t="str">
        <f>"Niepubliczna Szkoła Podstawowa w Łopatkach, Łopatki 24, 98-100 Łask"</f>
        <v>Niepubliczna Szkoła Podstawowa w Łopatkach, Łopatki 24, 98-100 Łask</v>
      </c>
      <c r="H24">
        <v>744</v>
      </c>
      <c r="I24">
        <v>744</v>
      </c>
      <c r="J24">
        <v>0</v>
      </c>
      <c r="K24">
        <v>530</v>
      </c>
      <c r="L24">
        <v>423</v>
      </c>
      <c r="M24">
        <v>107</v>
      </c>
      <c r="N24">
        <v>107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107</v>
      </c>
      <c r="Z24">
        <v>0</v>
      </c>
      <c r="AA24">
        <v>0</v>
      </c>
      <c r="AB24">
        <v>107</v>
      </c>
      <c r="AC24">
        <v>3</v>
      </c>
      <c r="AD24">
        <v>104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  <c r="AQ24">
        <v>2</v>
      </c>
      <c r="AR24">
        <v>2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2</v>
      </c>
      <c r="BC24">
        <v>3</v>
      </c>
      <c r="BD24">
        <v>3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3</v>
      </c>
      <c r="BO24">
        <v>62</v>
      </c>
      <c r="BP24">
        <v>45</v>
      </c>
      <c r="BQ24">
        <v>2</v>
      </c>
      <c r="BR24">
        <v>0</v>
      </c>
      <c r="BS24">
        <v>2</v>
      </c>
      <c r="BT24">
        <v>0</v>
      </c>
      <c r="BU24">
        <v>0</v>
      </c>
      <c r="BV24">
        <v>1</v>
      </c>
      <c r="BW24">
        <v>3</v>
      </c>
      <c r="BX24">
        <v>0</v>
      </c>
      <c r="BY24">
        <v>9</v>
      </c>
      <c r="BZ24">
        <v>62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1</v>
      </c>
      <c r="CM24">
        <v>3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2</v>
      </c>
      <c r="CU24">
        <v>0</v>
      </c>
      <c r="CV24">
        <v>0</v>
      </c>
      <c r="CW24">
        <v>0</v>
      </c>
      <c r="CX24">
        <v>3</v>
      </c>
      <c r="CY24">
        <v>11</v>
      </c>
      <c r="CZ24">
        <v>7</v>
      </c>
      <c r="DA24">
        <v>1</v>
      </c>
      <c r="DB24">
        <v>0</v>
      </c>
      <c r="DC24">
        <v>1</v>
      </c>
      <c r="DD24">
        <v>0</v>
      </c>
      <c r="DE24">
        <v>1</v>
      </c>
      <c r="DF24">
        <v>1</v>
      </c>
      <c r="DG24">
        <v>0</v>
      </c>
      <c r="DH24">
        <v>0</v>
      </c>
      <c r="DI24">
        <v>0</v>
      </c>
      <c r="DJ24">
        <v>11</v>
      </c>
      <c r="DK24">
        <v>10</v>
      </c>
      <c r="DL24">
        <v>6</v>
      </c>
      <c r="DM24">
        <v>2</v>
      </c>
      <c r="DN24">
        <v>0</v>
      </c>
      <c r="DO24">
        <v>1</v>
      </c>
      <c r="DP24">
        <v>1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10</v>
      </c>
      <c r="DW24">
        <v>6</v>
      </c>
      <c r="DX24">
        <v>2</v>
      </c>
      <c r="DY24">
        <v>1</v>
      </c>
      <c r="DZ24">
        <v>0</v>
      </c>
      <c r="EA24">
        <v>0</v>
      </c>
      <c r="EB24">
        <v>0</v>
      </c>
      <c r="EC24">
        <v>0</v>
      </c>
      <c r="ED24">
        <v>1</v>
      </c>
      <c r="EE24">
        <v>2</v>
      </c>
      <c r="EF24">
        <v>0</v>
      </c>
      <c r="EG24">
        <v>0</v>
      </c>
      <c r="EH24">
        <v>6</v>
      </c>
      <c r="EI24">
        <v>2</v>
      </c>
      <c r="EJ24">
        <v>0</v>
      </c>
      <c r="EK24">
        <v>2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2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2</v>
      </c>
      <c r="FN24">
        <v>0</v>
      </c>
      <c r="FO24">
        <v>0</v>
      </c>
      <c r="FP24">
        <v>2</v>
      </c>
    </row>
    <row r="25" spans="1:172" ht="14.25">
      <c r="A25">
        <v>20</v>
      </c>
      <c r="B25" t="str">
        <f t="shared" si="2"/>
        <v>100302</v>
      </c>
      <c r="C25" t="str">
        <f t="shared" si="3"/>
        <v>Łask</v>
      </c>
      <c r="D25" t="str">
        <f t="shared" si="0"/>
        <v>łaski</v>
      </c>
      <c r="E25" t="str">
        <f t="shared" si="1"/>
        <v>łódzkie</v>
      </c>
      <c r="F25">
        <v>15</v>
      </c>
      <c r="G25" t="str">
        <f>"Szkoła Podstawowa w Okupie, Akacjowa 4, Okup Mały, 98-100 Łask"</f>
        <v>Szkoła Podstawowa w Okupie, Akacjowa 4, Okup Mały, 98-100 Łask</v>
      </c>
      <c r="H25">
        <v>1137</v>
      </c>
      <c r="I25">
        <v>1137</v>
      </c>
      <c r="J25">
        <v>0</v>
      </c>
      <c r="K25">
        <v>810</v>
      </c>
      <c r="L25">
        <v>647</v>
      </c>
      <c r="M25">
        <v>163</v>
      </c>
      <c r="N25">
        <v>163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163</v>
      </c>
      <c r="Z25">
        <v>0</v>
      </c>
      <c r="AA25">
        <v>0</v>
      </c>
      <c r="AB25">
        <v>163</v>
      </c>
      <c r="AC25">
        <v>5</v>
      </c>
      <c r="AD25">
        <v>158</v>
      </c>
      <c r="AE25">
        <v>6</v>
      </c>
      <c r="AF25">
        <v>3</v>
      </c>
      <c r="AG25">
        <v>2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6</v>
      </c>
      <c r="AQ25">
        <v>4</v>
      </c>
      <c r="AR25">
        <v>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4</v>
      </c>
      <c r="BC25">
        <v>14</v>
      </c>
      <c r="BD25">
        <v>4</v>
      </c>
      <c r="BE25">
        <v>1</v>
      </c>
      <c r="BF25">
        <v>3</v>
      </c>
      <c r="BG25">
        <v>0</v>
      </c>
      <c r="BH25">
        <v>5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14</v>
      </c>
      <c r="BO25">
        <v>73</v>
      </c>
      <c r="BP25">
        <v>60</v>
      </c>
      <c r="BQ25">
        <v>3</v>
      </c>
      <c r="BR25">
        <v>3</v>
      </c>
      <c r="BS25">
        <v>1</v>
      </c>
      <c r="BT25">
        <v>0</v>
      </c>
      <c r="BU25">
        <v>0</v>
      </c>
      <c r="BV25">
        <v>1</v>
      </c>
      <c r="BW25">
        <v>1</v>
      </c>
      <c r="BX25">
        <v>2</v>
      </c>
      <c r="BY25">
        <v>2</v>
      </c>
      <c r="BZ25">
        <v>73</v>
      </c>
      <c r="CA25">
        <v>4</v>
      </c>
      <c r="CB25">
        <v>3</v>
      </c>
      <c r="CC25">
        <v>0</v>
      </c>
      <c r="CD25">
        <v>1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4</v>
      </c>
      <c r="CM25">
        <v>3</v>
      </c>
      <c r="CN25">
        <v>2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3</v>
      </c>
      <c r="CY25">
        <v>8</v>
      </c>
      <c r="CZ25">
        <v>4</v>
      </c>
      <c r="DA25">
        <v>1</v>
      </c>
      <c r="DB25">
        <v>0</v>
      </c>
      <c r="DC25">
        <v>0</v>
      </c>
      <c r="DD25">
        <v>0</v>
      </c>
      <c r="DE25">
        <v>2</v>
      </c>
      <c r="DF25">
        <v>0</v>
      </c>
      <c r="DG25">
        <v>0</v>
      </c>
      <c r="DH25">
        <v>0</v>
      </c>
      <c r="DI25">
        <v>1</v>
      </c>
      <c r="DJ25">
        <v>8</v>
      </c>
      <c r="DK25">
        <v>35</v>
      </c>
      <c r="DL25">
        <v>26</v>
      </c>
      <c r="DM25">
        <v>4</v>
      </c>
      <c r="DN25">
        <v>1</v>
      </c>
      <c r="DO25">
        <v>1</v>
      </c>
      <c r="DP25">
        <v>0</v>
      </c>
      <c r="DQ25">
        <v>2</v>
      </c>
      <c r="DR25">
        <v>0</v>
      </c>
      <c r="DS25">
        <v>0</v>
      </c>
      <c r="DT25">
        <v>1</v>
      </c>
      <c r="DU25">
        <v>0</v>
      </c>
      <c r="DV25">
        <v>35</v>
      </c>
      <c r="DW25">
        <v>10</v>
      </c>
      <c r="DX25">
        <v>7</v>
      </c>
      <c r="DY25">
        <v>0</v>
      </c>
      <c r="DZ25">
        <v>0</v>
      </c>
      <c r="EA25">
        <v>1</v>
      </c>
      <c r="EB25">
        <v>0</v>
      </c>
      <c r="EC25">
        <v>0</v>
      </c>
      <c r="ED25">
        <v>2</v>
      </c>
      <c r="EE25">
        <v>0</v>
      </c>
      <c r="EF25">
        <v>0</v>
      </c>
      <c r="EG25">
        <v>0</v>
      </c>
      <c r="EH25">
        <v>10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1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1</v>
      </c>
      <c r="FP25">
        <v>1</v>
      </c>
    </row>
    <row r="26" spans="1:172" ht="14.25">
      <c r="A26">
        <v>21</v>
      </c>
      <c r="B26" t="str">
        <f t="shared" si="2"/>
        <v>100302</v>
      </c>
      <c r="C26" t="str">
        <f t="shared" si="3"/>
        <v>Łask</v>
      </c>
      <c r="D26" t="str">
        <f t="shared" si="0"/>
        <v>łaski</v>
      </c>
      <c r="E26" t="str">
        <f t="shared" si="1"/>
        <v>łódzkie</v>
      </c>
      <c r="F26">
        <v>16</v>
      </c>
      <c r="G26" t="str">
        <f>"Szkoła Podstawowa w Bałuczu, Bałucz 32, 98-100 Łask"</f>
        <v>Szkoła Podstawowa w Bałuczu, Bałucz 32, 98-100 Łask</v>
      </c>
      <c r="H26">
        <v>1060</v>
      </c>
      <c r="I26">
        <v>1060</v>
      </c>
      <c r="J26">
        <v>0</v>
      </c>
      <c r="K26">
        <v>750</v>
      </c>
      <c r="L26">
        <v>555</v>
      </c>
      <c r="M26">
        <v>195</v>
      </c>
      <c r="N26">
        <v>195</v>
      </c>
      <c r="O26">
        <v>0</v>
      </c>
      <c r="P26">
        <v>2</v>
      </c>
      <c r="Q26">
        <v>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195</v>
      </c>
      <c r="Z26">
        <v>0</v>
      </c>
      <c r="AA26">
        <v>0</v>
      </c>
      <c r="AB26">
        <v>195</v>
      </c>
      <c r="AC26">
        <v>5</v>
      </c>
      <c r="AD26">
        <v>190</v>
      </c>
      <c r="AE26">
        <v>3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3</v>
      </c>
      <c r="AQ26">
        <v>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1</v>
      </c>
      <c r="BA26">
        <v>0</v>
      </c>
      <c r="BB26">
        <v>1</v>
      </c>
      <c r="BC26">
        <v>6</v>
      </c>
      <c r="BD26">
        <v>2</v>
      </c>
      <c r="BE26">
        <v>0</v>
      </c>
      <c r="BF26">
        <v>0</v>
      </c>
      <c r="BG26">
        <v>1</v>
      </c>
      <c r="BH26">
        <v>1</v>
      </c>
      <c r="BI26">
        <v>0</v>
      </c>
      <c r="BJ26">
        <v>0</v>
      </c>
      <c r="BK26">
        <v>0</v>
      </c>
      <c r="BL26">
        <v>1</v>
      </c>
      <c r="BM26">
        <v>1</v>
      </c>
      <c r="BN26">
        <v>6</v>
      </c>
      <c r="BO26">
        <v>126</v>
      </c>
      <c r="BP26">
        <v>106</v>
      </c>
      <c r="BQ26">
        <v>1</v>
      </c>
      <c r="BR26">
        <v>3</v>
      </c>
      <c r="BS26">
        <v>8</v>
      </c>
      <c r="BT26">
        <v>1</v>
      </c>
      <c r="BU26">
        <v>0</v>
      </c>
      <c r="BV26">
        <v>3</v>
      </c>
      <c r="BW26">
        <v>0</v>
      </c>
      <c r="BX26">
        <v>3</v>
      </c>
      <c r="BY26">
        <v>1</v>
      </c>
      <c r="BZ26">
        <v>126</v>
      </c>
      <c r="CA26">
        <v>5</v>
      </c>
      <c r="CB26">
        <v>4</v>
      </c>
      <c r="CC26">
        <v>1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5</v>
      </c>
      <c r="CM26">
        <v>5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3</v>
      </c>
      <c r="CU26">
        <v>0</v>
      </c>
      <c r="CV26">
        <v>0</v>
      </c>
      <c r="CW26">
        <v>1</v>
      </c>
      <c r="CX26">
        <v>5</v>
      </c>
      <c r="CY26">
        <v>5</v>
      </c>
      <c r="CZ26">
        <v>3</v>
      </c>
      <c r="DA26">
        <v>1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5</v>
      </c>
      <c r="DK26">
        <v>14</v>
      </c>
      <c r="DL26">
        <v>12</v>
      </c>
      <c r="DM26">
        <v>1</v>
      </c>
      <c r="DN26">
        <v>0</v>
      </c>
      <c r="DO26">
        <v>1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14</v>
      </c>
      <c r="DW26">
        <v>23</v>
      </c>
      <c r="DX26">
        <v>14</v>
      </c>
      <c r="DY26">
        <v>2</v>
      </c>
      <c r="DZ26">
        <v>1</v>
      </c>
      <c r="EA26">
        <v>0</v>
      </c>
      <c r="EB26">
        <v>0</v>
      </c>
      <c r="EC26">
        <v>4</v>
      </c>
      <c r="ED26">
        <v>2</v>
      </c>
      <c r="EE26">
        <v>0</v>
      </c>
      <c r="EF26">
        <v>0</v>
      </c>
      <c r="EG26">
        <v>0</v>
      </c>
      <c r="EH26">
        <v>23</v>
      </c>
      <c r="EI26">
        <v>2</v>
      </c>
      <c r="EJ26">
        <v>0</v>
      </c>
      <c r="EK26">
        <v>1</v>
      </c>
      <c r="EL26">
        <v>0</v>
      </c>
      <c r="EM26">
        <v>0</v>
      </c>
      <c r="EN26">
        <v>0</v>
      </c>
      <c r="EO26">
        <v>1</v>
      </c>
      <c r="EP26">
        <v>0</v>
      </c>
      <c r="EQ26">
        <v>0</v>
      </c>
      <c r="ER26">
        <v>2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</row>
    <row r="27" spans="1:172" ht="14.25">
      <c r="A27">
        <v>22</v>
      </c>
      <c r="B27" t="str">
        <f t="shared" si="2"/>
        <v>100302</v>
      </c>
      <c r="C27" t="str">
        <f t="shared" si="3"/>
        <v>Łask</v>
      </c>
      <c r="D27" t="str">
        <f t="shared" si="0"/>
        <v>łaski</v>
      </c>
      <c r="E27" t="str">
        <f t="shared" si="1"/>
        <v>łódzkie</v>
      </c>
      <c r="F27">
        <v>17</v>
      </c>
      <c r="G27" t="str">
        <f>"Niepubliczna Szkoła Podstawowa we Wrzeszewicach, Wrzeszczewice 14, 98-100 Łask"</f>
        <v>Niepubliczna Szkoła Podstawowa we Wrzeszewicach, Wrzeszczewice 14, 98-100 Łask</v>
      </c>
      <c r="H27">
        <v>714</v>
      </c>
      <c r="I27">
        <v>714</v>
      </c>
      <c r="J27">
        <v>0</v>
      </c>
      <c r="K27">
        <v>510</v>
      </c>
      <c r="L27">
        <v>425</v>
      </c>
      <c r="M27">
        <v>85</v>
      </c>
      <c r="N27">
        <v>85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85</v>
      </c>
      <c r="Z27">
        <v>0</v>
      </c>
      <c r="AA27">
        <v>0</v>
      </c>
      <c r="AB27">
        <v>85</v>
      </c>
      <c r="AC27">
        <v>6</v>
      </c>
      <c r="AD27">
        <v>79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4</v>
      </c>
      <c r="BD27">
        <v>4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4</v>
      </c>
      <c r="BO27">
        <v>40</v>
      </c>
      <c r="BP27">
        <v>25</v>
      </c>
      <c r="BQ27">
        <v>4</v>
      </c>
      <c r="BR27">
        <v>1</v>
      </c>
      <c r="BS27">
        <v>2</v>
      </c>
      <c r="BT27">
        <v>0</v>
      </c>
      <c r="BU27">
        <v>0</v>
      </c>
      <c r="BV27">
        <v>1</v>
      </c>
      <c r="BW27">
        <v>0</v>
      </c>
      <c r="BX27">
        <v>0</v>
      </c>
      <c r="BY27">
        <v>7</v>
      </c>
      <c r="BZ27">
        <v>40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1</v>
      </c>
      <c r="CU27">
        <v>0</v>
      </c>
      <c r="CV27">
        <v>0</v>
      </c>
      <c r="CW27">
        <v>0</v>
      </c>
      <c r="CX27">
        <v>1</v>
      </c>
      <c r="CY27">
        <v>7</v>
      </c>
      <c r="CZ27">
        <v>3</v>
      </c>
      <c r="DA27">
        <v>1</v>
      </c>
      <c r="DB27">
        <v>0</v>
      </c>
      <c r="DC27">
        <v>1</v>
      </c>
      <c r="DD27">
        <v>0</v>
      </c>
      <c r="DE27">
        <v>0</v>
      </c>
      <c r="DF27">
        <v>0</v>
      </c>
      <c r="DG27">
        <v>0</v>
      </c>
      <c r="DH27">
        <v>1</v>
      </c>
      <c r="DI27">
        <v>1</v>
      </c>
      <c r="DJ27">
        <v>7</v>
      </c>
      <c r="DK27">
        <v>15</v>
      </c>
      <c r="DL27">
        <v>11</v>
      </c>
      <c r="DM27">
        <v>0</v>
      </c>
      <c r="DN27">
        <v>0</v>
      </c>
      <c r="DO27">
        <v>1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2</v>
      </c>
      <c r="DV27">
        <v>15</v>
      </c>
      <c r="DW27">
        <v>7</v>
      </c>
      <c r="DX27">
        <v>2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1</v>
      </c>
      <c r="EE27">
        <v>0</v>
      </c>
      <c r="EF27">
        <v>0</v>
      </c>
      <c r="EG27">
        <v>4</v>
      </c>
      <c r="EH27">
        <v>7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1</v>
      </c>
      <c r="ET27">
        <v>1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1</v>
      </c>
      <c r="FE27">
        <v>2</v>
      </c>
      <c r="FF27">
        <v>2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2</v>
      </c>
    </row>
    <row r="28" spans="1:172" ht="14.25">
      <c r="A28">
        <v>23</v>
      </c>
      <c r="B28" t="str">
        <f t="shared" si="2"/>
        <v>100302</v>
      </c>
      <c r="C28" t="str">
        <f t="shared" si="3"/>
        <v>Łask</v>
      </c>
      <c r="D28" t="str">
        <f t="shared" si="0"/>
        <v>łaski</v>
      </c>
      <c r="E28" t="str">
        <f t="shared" si="1"/>
        <v>łódzkie</v>
      </c>
      <c r="F28">
        <v>18</v>
      </c>
      <c r="G28" t="str">
        <f>"Szkoła Podstawowa w Wiewiórczynie, Szkolna 1, Wiewiórczyn, 98-100 Łask"</f>
        <v>Szkoła Podstawowa w Wiewiórczynie, Szkolna 1, Wiewiórczyn, 98-100 Łask</v>
      </c>
      <c r="H28">
        <v>1196</v>
      </c>
      <c r="I28">
        <v>1196</v>
      </c>
      <c r="J28">
        <v>0</v>
      </c>
      <c r="K28">
        <v>840</v>
      </c>
      <c r="L28">
        <v>589</v>
      </c>
      <c r="M28">
        <v>251</v>
      </c>
      <c r="N28">
        <v>251</v>
      </c>
      <c r="O28">
        <v>0</v>
      </c>
      <c r="P28">
        <v>0</v>
      </c>
      <c r="Q28">
        <v>2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251</v>
      </c>
      <c r="Z28">
        <v>0</v>
      </c>
      <c r="AA28">
        <v>0</v>
      </c>
      <c r="AB28">
        <v>251</v>
      </c>
      <c r="AC28">
        <v>10</v>
      </c>
      <c r="AD28">
        <v>241</v>
      </c>
      <c r="AE28">
        <v>9</v>
      </c>
      <c r="AF28">
        <v>2</v>
      </c>
      <c r="AG28">
        <v>2</v>
      </c>
      <c r="AH28">
        <v>2</v>
      </c>
      <c r="AI28">
        <v>1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9</v>
      </c>
      <c r="AQ28">
        <v>4</v>
      </c>
      <c r="AR28">
        <v>1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1</v>
      </c>
      <c r="AZ28">
        <v>0</v>
      </c>
      <c r="BA28">
        <v>1</v>
      </c>
      <c r="BB28">
        <v>4</v>
      </c>
      <c r="BC28">
        <v>18</v>
      </c>
      <c r="BD28">
        <v>10</v>
      </c>
      <c r="BE28">
        <v>1</v>
      </c>
      <c r="BF28">
        <v>1</v>
      </c>
      <c r="BG28">
        <v>4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1</v>
      </c>
      <c r="BN28">
        <v>18</v>
      </c>
      <c r="BO28">
        <v>137</v>
      </c>
      <c r="BP28">
        <v>115</v>
      </c>
      <c r="BQ28">
        <v>9</v>
      </c>
      <c r="BR28">
        <v>1</v>
      </c>
      <c r="BS28">
        <v>6</v>
      </c>
      <c r="BT28">
        <v>0</v>
      </c>
      <c r="BU28">
        <v>1</v>
      </c>
      <c r="BV28">
        <v>1</v>
      </c>
      <c r="BW28">
        <v>1</v>
      </c>
      <c r="BX28">
        <v>0</v>
      </c>
      <c r="BY28">
        <v>3</v>
      </c>
      <c r="BZ28">
        <v>137</v>
      </c>
      <c r="CA28">
        <v>5</v>
      </c>
      <c r="CB28">
        <v>4</v>
      </c>
      <c r="CC28">
        <v>0</v>
      </c>
      <c r="CD28">
        <v>1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5</v>
      </c>
      <c r="CM28">
        <v>13</v>
      </c>
      <c r="CN28">
        <v>6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5</v>
      </c>
      <c r="CU28">
        <v>0</v>
      </c>
      <c r="CV28">
        <v>0</v>
      </c>
      <c r="CW28">
        <v>0</v>
      </c>
      <c r="CX28">
        <v>13</v>
      </c>
      <c r="CY28">
        <v>14</v>
      </c>
      <c r="CZ28">
        <v>7</v>
      </c>
      <c r="DA28">
        <v>1</v>
      </c>
      <c r="DB28">
        <v>0</v>
      </c>
      <c r="DC28">
        <v>0</v>
      </c>
      <c r="DD28">
        <v>2</v>
      </c>
      <c r="DE28">
        <v>0</v>
      </c>
      <c r="DF28">
        <v>0</v>
      </c>
      <c r="DG28">
        <v>0</v>
      </c>
      <c r="DH28">
        <v>2</v>
      </c>
      <c r="DI28">
        <v>2</v>
      </c>
      <c r="DJ28">
        <v>14</v>
      </c>
      <c r="DK28">
        <v>28</v>
      </c>
      <c r="DL28">
        <v>20</v>
      </c>
      <c r="DM28">
        <v>5</v>
      </c>
      <c r="DN28">
        <v>0</v>
      </c>
      <c r="DO28">
        <v>0</v>
      </c>
      <c r="DP28">
        <v>1</v>
      </c>
      <c r="DQ28">
        <v>1</v>
      </c>
      <c r="DR28">
        <v>0</v>
      </c>
      <c r="DS28">
        <v>0</v>
      </c>
      <c r="DT28">
        <v>0</v>
      </c>
      <c r="DU28">
        <v>1</v>
      </c>
      <c r="DV28">
        <v>28</v>
      </c>
      <c r="DW28">
        <v>10</v>
      </c>
      <c r="DX28">
        <v>5</v>
      </c>
      <c r="DY28">
        <v>1</v>
      </c>
      <c r="DZ28">
        <v>0</v>
      </c>
      <c r="EA28">
        <v>0</v>
      </c>
      <c r="EB28">
        <v>0</v>
      </c>
      <c r="EC28">
        <v>1</v>
      </c>
      <c r="ED28">
        <v>2</v>
      </c>
      <c r="EE28">
        <v>1</v>
      </c>
      <c r="EF28">
        <v>0</v>
      </c>
      <c r="EG28">
        <v>0</v>
      </c>
      <c r="EH28">
        <v>10</v>
      </c>
      <c r="EI28">
        <v>1</v>
      </c>
      <c r="EJ28">
        <v>0</v>
      </c>
      <c r="EK28">
        <v>1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2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1</v>
      </c>
      <c r="FN28">
        <v>0</v>
      </c>
      <c r="FO28">
        <v>0</v>
      </c>
      <c r="FP28">
        <v>2</v>
      </c>
    </row>
    <row r="29" spans="1:172" ht="14.25">
      <c r="A29">
        <v>24</v>
      </c>
      <c r="B29" t="str">
        <f t="shared" si="2"/>
        <v>100302</v>
      </c>
      <c r="C29" t="str">
        <f t="shared" si="3"/>
        <v>Łask</v>
      </c>
      <c r="D29" t="str">
        <f t="shared" si="0"/>
        <v>łaski</v>
      </c>
      <c r="E29" t="str">
        <f t="shared" si="1"/>
        <v>łódzkie</v>
      </c>
      <c r="F29">
        <v>19</v>
      </c>
      <c r="G29" t="str">
        <f>"Szkoła Podstawowa w Wiewiórczynie, Szkolna 1, Wiewiórczyn, 98-100 Łask"</f>
        <v>Szkoła Podstawowa w Wiewiórczynie, Szkolna 1, Wiewiórczyn, 98-100 Łask</v>
      </c>
      <c r="H29">
        <v>1190</v>
      </c>
      <c r="I29">
        <v>1190</v>
      </c>
      <c r="J29">
        <v>0</v>
      </c>
      <c r="K29">
        <v>840</v>
      </c>
      <c r="L29">
        <v>635</v>
      </c>
      <c r="M29">
        <v>205</v>
      </c>
      <c r="N29">
        <v>205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205</v>
      </c>
      <c r="Z29">
        <v>0</v>
      </c>
      <c r="AA29">
        <v>0</v>
      </c>
      <c r="AB29">
        <v>205</v>
      </c>
      <c r="AC29">
        <v>4</v>
      </c>
      <c r="AD29">
        <v>201</v>
      </c>
      <c r="AE29">
        <v>5</v>
      </c>
      <c r="AF29">
        <v>3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5</v>
      </c>
      <c r="AQ29">
        <v>1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1</v>
      </c>
      <c r="BC29">
        <v>8</v>
      </c>
      <c r="BD29">
        <v>6</v>
      </c>
      <c r="BE29">
        <v>0</v>
      </c>
      <c r="BF29">
        <v>1</v>
      </c>
      <c r="BG29">
        <v>0</v>
      </c>
      <c r="BH29">
        <v>0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8</v>
      </c>
      <c r="BO29">
        <v>78</v>
      </c>
      <c r="BP29">
        <v>62</v>
      </c>
      <c r="BQ29">
        <v>3</v>
      </c>
      <c r="BR29">
        <v>2</v>
      </c>
      <c r="BS29">
        <v>6</v>
      </c>
      <c r="BT29">
        <v>0</v>
      </c>
      <c r="BU29">
        <v>1</v>
      </c>
      <c r="BV29">
        <v>1</v>
      </c>
      <c r="BW29">
        <v>1</v>
      </c>
      <c r="BX29">
        <v>0</v>
      </c>
      <c r="BY29">
        <v>2</v>
      </c>
      <c r="BZ29">
        <v>78</v>
      </c>
      <c r="CA29">
        <v>3</v>
      </c>
      <c r="CB29">
        <v>2</v>
      </c>
      <c r="CC29">
        <v>1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3</v>
      </c>
      <c r="CM29">
        <v>12</v>
      </c>
      <c r="CN29">
        <v>8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3</v>
      </c>
      <c r="CU29">
        <v>0</v>
      </c>
      <c r="CV29">
        <v>0</v>
      </c>
      <c r="CW29">
        <v>1</v>
      </c>
      <c r="CX29">
        <v>12</v>
      </c>
      <c r="CY29">
        <v>25</v>
      </c>
      <c r="CZ29">
        <v>12</v>
      </c>
      <c r="DA29">
        <v>1</v>
      </c>
      <c r="DB29">
        <v>1</v>
      </c>
      <c r="DC29">
        <v>4</v>
      </c>
      <c r="DD29">
        <v>2</v>
      </c>
      <c r="DE29">
        <v>1</v>
      </c>
      <c r="DF29">
        <v>1</v>
      </c>
      <c r="DG29">
        <v>0</v>
      </c>
      <c r="DH29">
        <v>2</v>
      </c>
      <c r="DI29">
        <v>1</v>
      </c>
      <c r="DJ29">
        <v>25</v>
      </c>
      <c r="DK29">
        <v>43</v>
      </c>
      <c r="DL29">
        <v>30</v>
      </c>
      <c r="DM29">
        <v>7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1</v>
      </c>
      <c r="DT29">
        <v>2</v>
      </c>
      <c r="DU29">
        <v>2</v>
      </c>
      <c r="DV29">
        <v>43</v>
      </c>
      <c r="DW29">
        <v>20</v>
      </c>
      <c r="DX29">
        <v>7</v>
      </c>
      <c r="DY29">
        <v>5</v>
      </c>
      <c r="DZ29">
        <v>0</v>
      </c>
      <c r="EA29">
        <v>0</v>
      </c>
      <c r="EB29">
        <v>0</v>
      </c>
      <c r="EC29">
        <v>4</v>
      </c>
      <c r="ED29">
        <v>3</v>
      </c>
      <c r="EE29">
        <v>0</v>
      </c>
      <c r="EF29">
        <v>1</v>
      </c>
      <c r="EG29">
        <v>0</v>
      </c>
      <c r="EH29">
        <v>20</v>
      </c>
      <c r="EI29">
        <v>5</v>
      </c>
      <c r="EJ29">
        <v>1</v>
      </c>
      <c r="EK29">
        <v>3</v>
      </c>
      <c r="EL29">
        <v>0</v>
      </c>
      <c r="EM29">
        <v>0</v>
      </c>
      <c r="EN29">
        <v>0</v>
      </c>
      <c r="EO29">
        <v>1</v>
      </c>
      <c r="EP29">
        <v>0</v>
      </c>
      <c r="EQ29">
        <v>0</v>
      </c>
      <c r="ER29">
        <v>5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1</v>
      </c>
      <c r="FF29">
        <v>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1</v>
      </c>
    </row>
    <row r="30" spans="1:172" ht="14.25">
      <c r="A30">
        <v>25</v>
      </c>
      <c r="B30" t="str">
        <f t="shared" si="2"/>
        <v>100302</v>
      </c>
      <c r="C30" t="str">
        <f t="shared" si="3"/>
        <v>Łask</v>
      </c>
      <c r="D30" t="str">
        <f t="shared" si="0"/>
        <v>łaski</v>
      </c>
      <c r="E30" t="str">
        <f t="shared" si="1"/>
        <v>łódzkie</v>
      </c>
      <c r="F30">
        <v>20</v>
      </c>
      <c r="G30" t="str">
        <f>"Centrum Dializa Sp. z o.o. - Szpital, ul. Warszawska 62A, 98-100 Łask"</f>
        <v>Centrum Dializa Sp. z o.o. - Szpital, ul. Warszawska 62A, 98-100 Łask</v>
      </c>
      <c r="H30">
        <v>85</v>
      </c>
      <c r="I30">
        <v>85</v>
      </c>
      <c r="J30">
        <v>0</v>
      </c>
      <c r="K30">
        <v>160</v>
      </c>
      <c r="L30">
        <v>128</v>
      </c>
      <c r="M30">
        <v>32</v>
      </c>
      <c r="N30">
        <v>32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32</v>
      </c>
      <c r="Z30">
        <v>0</v>
      </c>
      <c r="AA30">
        <v>0</v>
      </c>
      <c r="AB30">
        <v>32</v>
      </c>
      <c r="AC30">
        <v>1</v>
      </c>
      <c r="AD30">
        <v>31</v>
      </c>
      <c r="AE30">
        <v>1</v>
      </c>
      <c r="AF30">
        <v>0</v>
      </c>
      <c r="AG30">
        <v>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2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0</v>
      </c>
      <c r="BB30">
        <v>2</v>
      </c>
      <c r="BC30">
        <v>4</v>
      </c>
      <c r="BD30">
        <v>2</v>
      </c>
      <c r="BE30">
        <v>1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1</v>
      </c>
      <c r="BN30">
        <v>4</v>
      </c>
      <c r="BO30">
        <v>16</v>
      </c>
      <c r="BP30">
        <v>13</v>
      </c>
      <c r="BQ30">
        <v>3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16</v>
      </c>
      <c r="CA30">
        <v>1</v>
      </c>
      <c r="CB30">
        <v>0</v>
      </c>
      <c r="CC30">
        <v>0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5</v>
      </c>
      <c r="DL30">
        <v>1</v>
      </c>
      <c r="DM30">
        <v>3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1</v>
      </c>
      <c r="DV30">
        <v>5</v>
      </c>
      <c r="DW30">
        <v>2</v>
      </c>
      <c r="DX30">
        <v>0</v>
      </c>
      <c r="DY30">
        <v>1</v>
      </c>
      <c r="DZ30">
        <v>0</v>
      </c>
      <c r="EA30">
        <v>0</v>
      </c>
      <c r="EB30">
        <v>0</v>
      </c>
      <c r="EC30">
        <v>0</v>
      </c>
      <c r="ED30">
        <v>1</v>
      </c>
      <c r="EE30">
        <v>0</v>
      </c>
      <c r="EF30">
        <v>0</v>
      </c>
      <c r="EG30">
        <v>0</v>
      </c>
      <c r="EH30">
        <v>2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</row>
    <row r="31" spans="1:172" ht="14.25">
      <c r="A31">
        <v>26</v>
      </c>
      <c r="B31" t="str">
        <f aca="true" t="shared" si="4" ref="B31:B37">"100303"</f>
        <v>100303</v>
      </c>
      <c r="C31" t="str">
        <f aca="true" t="shared" si="5" ref="C31:C37">"Sędziejowice"</f>
        <v>Sędziejowice</v>
      </c>
      <c r="D31" t="str">
        <f t="shared" si="0"/>
        <v>łaski</v>
      </c>
      <c r="E31" t="str">
        <f t="shared" si="1"/>
        <v>łódzkie</v>
      </c>
      <c r="F31">
        <v>1</v>
      </c>
      <c r="G31" t="str">
        <f>"Zespół Szkół Ogólnokształcących Nr 1 w Sędziejowicach, Powstańców 1863 roku 6, 98-160 Sędziejowice"</f>
        <v>Zespół Szkół Ogólnokształcących Nr 1 w Sędziejowicach, Powstańców 1863 roku 6, 98-160 Sędziejowice</v>
      </c>
      <c r="H31">
        <v>969</v>
      </c>
      <c r="I31">
        <v>969</v>
      </c>
      <c r="J31">
        <v>0</v>
      </c>
      <c r="K31">
        <v>680</v>
      </c>
      <c r="L31">
        <v>446</v>
      </c>
      <c r="M31">
        <v>234</v>
      </c>
      <c r="N31">
        <v>234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234</v>
      </c>
      <c r="Z31">
        <v>0</v>
      </c>
      <c r="AA31">
        <v>0</v>
      </c>
      <c r="AB31">
        <v>234</v>
      </c>
      <c r="AC31">
        <v>6</v>
      </c>
      <c r="AD31">
        <v>228</v>
      </c>
      <c r="AE31">
        <v>5</v>
      </c>
      <c r="AF31">
        <v>3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5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</v>
      </c>
      <c r="AY31">
        <v>0</v>
      </c>
      <c r="AZ31">
        <v>0</v>
      </c>
      <c r="BA31">
        <v>0</v>
      </c>
      <c r="BB31">
        <v>1</v>
      </c>
      <c r="BC31">
        <v>24</v>
      </c>
      <c r="BD31">
        <v>9</v>
      </c>
      <c r="BE31">
        <v>1</v>
      </c>
      <c r="BF31">
        <v>1</v>
      </c>
      <c r="BG31">
        <v>0</v>
      </c>
      <c r="BH31">
        <v>1</v>
      </c>
      <c r="BI31">
        <v>2</v>
      </c>
      <c r="BJ31">
        <v>0</v>
      </c>
      <c r="BK31">
        <v>4</v>
      </c>
      <c r="BL31">
        <v>1</v>
      </c>
      <c r="BM31">
        <v>5</v>
      </c>
      <c r="BN31">
        <v>24</v>
      </c>
      <c r="BO31">
        <v>110</v>
      </c>
      <c r="BP31">
        <v>95</v>
      </c>
      <c r="BQ31">
        <v>2</v>
      </c>
      <c r="BR31">
        <v>0</v>
      </c>
      <c r="BS31">
        <v>8</v>
      </c>
      <c r="BT31">
        <v>0</v>
      </c>
      <c r="BU31">
        <v>0</v>
      </c>
      <c r="BV31">
        <v>0</v>
      </c>
      <c r="BW31">
        <v>0</v>
      </c>
      <c r="BX31">
        <v>1</v>
      </c>
      <c r="BY31">
        <v>4</v>
      </c>
      <c r="BZ31">
        <v>110</v>
      </c>
      <c r="CA31">
        <v>4</v>
      </c>
      <c r="CB31">
        <v>1</v>
      </c>
      <c r="CC31">
        <v>1</v>
      </c>
      <c r="CD31">
        <v>0</v>
      </c>
      <c r="CE31">
        <v>2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4</v>
      </c>
      <c r="CM31">
        <v>7</v>
      </c>
      <c r="CN31">
        <v>4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7</v>
      </c>
      <c r="CY31">
        <v>23</v>
      </c>
      <c r="CZ31">
        <v>9</v>
      </c>
      <c r="DA31">
        <v>5</v>
      </c>
      <c r="DB31">
        <v>3</v>
      </c>
      <c r="DC31">
        <v>0</v>
      </c>
      <c r="DD31">
        <v>0</v>
      </c>
      <c r="DE31">
        <v>2</v>
      </c>
      <c r="DF31">
        <v>1</v>
      </c>
      <c r="DG31">
        <v>1</v>
      </c>
      <c r="DH31">
        <v>0</v>
      </c>
      <c r="DI31">
        <v>2</v>
      </c>
      <c r="DJ31">
        <v>23</v>
      </c>
      <c r="DK31">
        <v>26</v>
      </c>
      <c r="DL31">
        <v>20</v>
      </c>
      <c r="DM31">
        <v>5</v>
      </c>
      <c r="DN31">
        <v>0</v>
      </c>
      <c r="DO31">
        <v>1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26</v>
      </c>
      <c r="DW31">
        <v>27</v>
      </c>
      <c r="DX31">
        <v>14</v>
      </c>
      <c r="DY31">
        <v>0</v>
      </c>
      <c r="DZ31">
        <v>0</v>
      </c>
      <c r="EA31">
        <v>0</v>
      </c>
      <c r="EB31">
        <v>0</v>
      </c>
      <c r="EC31">
        <v>13</v>
      </c>
      <c r="ED31">
        <v>0</v>
      </c>
      <c r="EE31">
        <v>0</v>
      </c>
      <c r="EF31">
        <v>0</v>
      </c>
      <c r="EG31">
        <v>0</v>
      </c>
      <c r="EH31">
        <v>27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1</v>
      </c>
      <c r="ET31">
        <v>1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1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</row>
    <row r="32" spans="1:172" ht="14.25">
      <c r="A32">
        <v>27</v>
      </c>
      <c r="B32" t="str">
        <f t="shared" si="4"/>
        <v>100303</v>
      </c>
      <c r="C32" t="str">
        <f t="shared" si="5"/>
        <v>Sędziejowice</v>
      </c>
      <c r="D32" t="str">
        <f t="shared" si="0"/>
        <v>łaski</v>
      </c>
      <c r="E32" t="str">
        <f t="shared" si="1"/>
        <v>łódzkie</v>
      </c>
      <c r="F32">
        <v>2</v>
      </c>
      <c r="G32" t="str">
        <f>"Świetlica Wiejska w Osinach, Osiny 17A, 98-160 Sędziejowice"</f>
        <v>Świetlica Wiejska w Osinach, Osiny 17A, 98-160 Sędziejowice</v>
      </c>
      <c r="H32">
        <v>426</v>
      </c>
      <c r="I32">
        <v>426</v>
      </c>
      <c r="J32">
        <v>0</v>
      </c>
      <c r="K32">
        <v>300</v>
      </c>
      <c r="L32">
        <v>244</v>
      </c>
      <c r="M32">
        <v>56</v>
      </c>
      <c r="N32">
        <v>56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56</v>
      </c>
      <c r="Z32">
        <v>0</v>
      </c>
      <c r="AA32">
        <v>0</v>
      </c>
      <c r="AB32">
        <v>56</v>
      </c>
      <c r="AC32">
        <v>5</v>
      </c>
      <c r="AD32">
        <v>51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29</v>
      </c>
      <c r="BP32">
        <v>22</v>
      </c>
      <c r="BQ32">
        <v>0</v>
      </c>
      <c r="BR32">
        <v>4</v>
      </c>
      <c r="BS32">
        <v>2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1</v>
      </c>
      <c r="BZ32">
        <v>29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4</v>
      </c>
      <c r="CZ32">
        <v>2</v>
      </c>
      <c r="DA32">
        <v>1</v>
      </c>
      <c r="DB32">
        <v>0</v>
      </c>
      <c r="DC32">
        <v>1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4</v>
      </c>
      <c r="DK32">
        <v>8</v>
      </c>
      <c r="DL32">
        <v>6</v>
      </c>
      <c r="DM32">
        <v>2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8</v>
      </c>
      <c r="DW32">
        <v>6</v>
      </c>
      <c r="DX32">
        <v>2</v>
      </c>
      <c r="DY32">
        <v>1</v>
      </c>
      <c r="DZ32">
        <v>0</v>
      </c>
      <c r="EA32">
        <v>0</v>
      </c>
      <c r="EB32">
        <v>0</v>
      </c>
      <c r="EC32">
        <v>2</v>
      </c>
      <c r="ED32">
        <v>0</v>
      </c>
      <c r="EE32">
        <v>1</v>
      </c>
      <c r="EF32">
        <v>0</v>
      </c>
      <c r="EG32">
        <v>0</v>
      </c>
      <c r="EH32">
        <v>6</v>
      </c>
      <c r="EI32">
        <v>1</v>
      </c>
      <c r="EJ32">
        <v>0</v>
      </c>
      <c r="EK32">
        <v>1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1</v>
      </c>
      <c r="ES32">
        <v>2</v>
      </c>
      <c r="ET32">
        <v>1</v>
      </c>
      <c r="EU32">
        <v>1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2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</row>
    <row r="33" spans="1:172" ht="14.25">
      <c r="A33">
        <v>28</v>
      </c>
      <c r="B33" t="str">
        <f t="shared" si="4"/>
        <v>100303</v>
      </c>
      <c r="C33" t="str">
        <f t="shared" si="5"/>
        <v>Sędziejowice</v>
      </c>
      <c r="D33" t="str">
        <f t="shared" si="0"/>
        <v>łaski</v>
      </c>
      <c r="E33" t="str">
        <f t="shared" si="1"/>
        <v>łódzkie</v>
      </c>
      <c r="F33">
        <v>3</v>
      </c>
      <c r="G33" t="str">
        <f>"Zespół Szkół w Marzeninie, Łaska 7, Marzenin, 98-160 Sędziejowice"</f>
        <v>Zespół Szkół w Marzeninie, Łaska 7, Marzenin, 98-160 Sędziejowice</v>
      </c>
      <c r="H33">
        <v>1236</v>
      </c>
      <c r="I33">
        <v>1236</v>
      </c>
      <c r="J33">
        <v>0</v>
      </c>
      <c r="K33">
        <v>867</v>
      </c>
      <c r="L33">
        <v>651</v>
      </c>
      <c r="M33">
        <v>216</v>
      </c>
      <c r="N33">
        <v>216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216</v>
      </c>
      <c r="Z33">
        <v>0</v>
      </c>
      <c r="AA33">
        <v>0</v>
      </c>
      <c r="AB33">
        <v>216</v>
      </c>
      <c r="AC33">
        <v>14</v>
      </c>
      <c r="AD33">
        <v>202</v>
      </c>
      <c r="AE33">
        <v>6</v>
      </c>
      <c r="AF33">
        <v>1</v>
      </c>
      <c r="AG33">
        <v>1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1</v>
      </c>
      <c r="AP33">
        <v>6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18</v>
      </c>
      <c r="BD33">
        <v>6</v>
      </c>
      <c r="BE33">
        <v>5</v>
      </c>
      <c r="BF33">
        <v>1</v>
      </c>
      <c r="BG33">
        <v>0</v>
      </c>
      <c r="BH33">
        <v>5</v>
      </c>
      <c r="BI33">
        <v>0</v>
      </c>
      <c r="BJ33">
        <v>0</v>
      </c>
      <c r="BK33">
        <v>0</v>
      </c>
      <c r="BL33">
        <v>0</v>
      </c>
      <c r="BM33">
        <v>1</v>
      </c>
      <c r="BN33">
        <v>18</v>
      </c>
      <c r="BO33">
        <v>100</v>
      </c>
      <c r="BP33">
        <v>81</v>
      </c>
      <c r="BQ33">
        <v>3</v>
      </c>
      <c r="BR33">
        <v>4</v>
      </c>
      <c r="BS33">
        <v>2</v>
      </c>
      <c r="BT33">
        <v>0</v>
      </c>
      <c r="BU33">
        <v>0</v>
      </c>
      <c r="BV33">
        <v>1</v>
      </c>
      <c r="BW33">
        <v>0</v>
      </c>
      <c r="BX33">
        <v>0</v>
      </c>
      <c r="BY33">
        <v>9</v>
      </c>
      <c r="BZ33">
        <v>100</v>
      </c>
      <c r="CA33">
        <v>3</v>
      </c>
      <c r="CB33">
        <v>1</v>
      </c>
      <c r="CC33">
        <v>2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3</v>
      </c>
      <c r="CM33">
        <v>8</v>
      </c>
      <c r="CN33">
        <v>5</v>
      </c>
      <c r="CO33">
        <v>1</v>
      </c>
      <c r="CP33">
        <v>0</v>
      </c>
      <c r="CQ33">
        <v>1</v>
      </c>
      <c r="CR33">
        <v>0</v>
      </c>
      <c r="CS33">
        <v>0</v>
      </c>
      <c r="CT33">
        <v>1</v>
      </c>
      <c r="CU33">
        <v>0</v>
      </c>
      <c r="CV33">
        <v>0</v>
      </c>
      <c r="CW33">
        <v>0</v>
      </c>
      <c r="CX33">
        <v>8</v>
      </c>
      <c r="CY33">
        <v>6</v>
      </c>
      <c r="CZ33">
        <v>4</v>
      </c>
      <c r="DA33">
        <v>0</v>
      </c>
      <c r="DB33">
        <v>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1</v>
      </c>
      <c r="DJ33">
        <v>6</v>
      </c>
      <c r="DK33">
        <v>38</v>
      </c>
      <c r="DL33">
        <v>26</v>
      </c>
      <c r="DM33">
        <v>9</v>
      </c>
      <c r="DN33">
        <v>1</v>
      </c>
      <c r="DO33">
        <v>2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38</v>
      </c>
      <c r="DW33">
        <v>22</v>
      </c>
      <c r="DX33">
        <v>8</v>
      </c>
      <c r="DY33">
        <v>3</v>
      </c>
      <c r="DZ33">
        <v>0</v>
      </c>
      <c r="EA33">
        <v>0</v>
      </c>
      <c r="EB33">
        <v>0</v>
      </c>
      <c r="EC33">
        <v>5</v>
      </c>
      <c r="ED33">
        <v>1</v>
      </c>
      <c r="EE33">
        <v>3</v>
      </c>
      <c r="EF33">
        <v>2</v>
      </c>
      <c r="EG33">
        <v>0</v>
      </c>
      <c r="EH33">
        <v>22</v>
      </c>
      <c r="EI33">
        <v>1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1</v>
      </c>
      <c r="EQ33">
        <v>0</v>
      </c>
      <c r="ER33">
        <v>1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</row>
    <row r="34" spans="1:172" ht="14.25">
      <c r="A34">
        <v>29</v>
      </c>
      <c r="B34" t="str">
        <f t="shared" si="4"/>
        <v>100303</v>
      </c>
      <c r="C34" t="str">
        <f t="shared" si="5"/>
        <v>Sędziejowice</v>
      </c>
      <c r="D34" t="str">
        <f t="shared" si="0"/>
        <v>łaski</v>
      </c>
      <c r="E34" t="str">
        <f t="shared" si="1"/>
        <v>łódzkie</v>
      </c>
      <c r="F34">
        <v>4</v>
      </c>
      <c r="G34" t="str">
        <f>"Remiza OSP w Pruszkowie, Główna 16, Pruszków, 98-160 Sędziejowice"</f>
        <v>Remiza OSP w Pruszkowie, Główna 16, Pruszków, 98-160 Sędziejowice</v>
      </c>
      <c r="H34">
        <v>581</v>
      </c>
      <c r="I34">
        <v>581</v>
      </c>
      <c r="J34">
        <v>0</v>
      </c>
      <c r="K34">
        <v>410</v>
      </c>
      <c r="L34">
        <v>302</v>
      </c>
      <c r="M34">
        <v>108</v>
      </c>
      <c r="N34">
        <v>108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108</v>
      </c>
      <c r="Z34">
        <v>0</v>
      </c>
      <c r="AA34">
        <v>0</v>
      </c>
      <c r="AB34">
        <v>108</v>
      </c>
      <c r="AC34">
        <v>7</v>
      </c>
      <c r="AD34">
        <v>101</v>
      </c>
      <c r="AE34">
        <v>4</v>
      </c>
      <c r="AF34">
        <v>0</v>
      </c>
      <c r="AG34">
        <v>3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</v>
      </c>
      <c r="AP34">
        <v>4</v>
      </c>
      <c r="AQ34">
        <v>1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3</v>
      </c>
      <c r="BD34">
        <v>0</v>
      </c>
      <c r="BE34">
        <v>1</v>
      </c>
      <c r="BF34">
        <v>1</v>
      </c>
      <c r="BG34">
        <v>1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3</v>
      </c>
      <c r="BO34">
        <v>55</v>
      </c>
      <c r="BP34">
        <v>45</v>
      </c>
      <c r="BQ34">
        <v>0</v>
      </c>
      <c r="BR34">
        <v>1</v>
      </c>
      <c r="BS34">
        <v>7</v>
      </c>
      <c r="BT34">
        <v>0</v>
      </c>
      <c r="BU34">
        <v>0</v>
      </c>
      <c r="BV34">
        <v>0</v>
      </c>
      <c r="BW34">
        <v>0</v>
      </c>
      <c r="BX34">
        <v>1</v>
      </c>
      <c r="BY34">
        <v>1</v>
      </c>
      <c r="BZ34">
        <v>55</v>
      </c>
      <c r="CA34">
        <v>1</v>
      </c>
      <c r="CB34">
        <v>0</v>
      </c>
      <c r="CC34">
        <v>1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4</v>
      </c>
      <c r="CN34">
        <v>2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2</v>
      </c>
      <c r="CU34">
        <v>0</v>
      </c>
      <c r="CV34">
        <v>0</v>
      </c>
      <c r="CW34">
        <v>0</v>
      </c>
      <c r="CX34">
        <v>4</v>
      </c>
      <c r="CY34">
        <v>7</v>
      </c>
      <c r="CZ34">
        <v>6</v>
      </c>
      <c r="DA34">
        <v>0</v>
      </c>
      <c r="DB34">
        <v>0</v>
      </c>
      <c r="DC34">
        <v>0</v>
      </c>
      <c r="DD34">
        <v>0</v>
      </c>
      <c r="DE34">
        <v>1</v>
      </c>
      <c r="DF34">
        <v>0</v>
      </c>
      <c r="DG34">
        <v>0</v>
      </c>
      <c r="DH34">
        <v>0</v>
      </c>
      <c r="DI34">
        <v>0</v>
      </c>
      <c r="DJ34">
        <v>7</v>
      </c>
      <c r="DK34">
        <v>15</v>
      </c>
      <c r="DL34">
        <v>8</v>
      </c>
      <c r="DM34">
        <v>2</v>
      </c>
      <c r="DN34">
        <v>0</v>
      </c>
      <c r="DO34">
        <v>0</v>
      </c>
      <c r="DP34">
        <v>2</v>
      </c>
      <c r="DQ34">
        <v>2</v>
      </c>
      <c r="DR34">
        <v>1</v>
      </c>
      <c r="DS34">
        <v>0</v>
      </c>
      <c r="DT34">
        <v>0</v>
      </c>
      <c r="DU34">
        <v>0</v>
      </c>
      <c r="DV34">
        <v>15</v>
      </c>
      <c r="DW34">
        <v>10</v>
      </c>
      <c r="DX34">
        <v>3</v>
      </c>
      <c r="DY34">
        <v>0</v>
      </c>
      <c r="DZ34">
        <v>0</v>
      </c>
      <c r="EA34">
        <v>0</v>
      </c>
      <c r="EB34">
        <v>2</v>
      </c>
      <c r="EC34">
        <v>2</v>
      </c>
      <c r="ED34">
        <v>1</v>
      </c>
      <c r="EE34">
        <v>0</v>
      </c>
      <c r="EF34">
        <v>2</v>
      </c>
      <c r="EG34">
        <v>0</v>
      </c>
      <c r="EH34">
        <v>10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1</v>
      </c>
      <c r="ET34">
        <v>0</v>
      </c>
      <c r="EU34">
        <v>0</v>
      </c>
      <c r="EV34">
        <v>0</v>
      </c>
      <c r="EW34">
        <v>1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1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</row>
    <row r="35" spans="1:172" ht="14.25">
      <c r="A35">
        <v>30</v>
      </c>
      <c r="B35" t="str">
        <f t="shared" si="4"/>
        <v>100303</v>
      </c>
      <c r="C35" t="str">
        <f t="shared" si="5"/>
        <v>Sędziejowice</v>
      </c>
      <c r="D35" t="str">
        <f t="shared" si="0"/>
        <v>łaski</v>
      </c>
      <c r="E35" t="str">
        <f t="shared" si="1"/>
        <v>łódzkie</v>
      </c>
      <c r="F35">
        <v>5</v>
      </c>
      <c r="G35" t="str">
        <f>"Remiza OSP w Grabi, Grabia 23, 98-160 Sędziejowice"</f>
        <v>Remiza OSP w Grabi, Grabia 23, 98-160 Sędziejowice</v>
      </c>
      <c r="H35">
        <v>375</v>
      </c>
      <c r="I35">
        <v>375</v>
      </c>
      <c r="J35">
        <v>0</v>
      </c>
      <c r="K35">
        <v>270</v>
      </c>
      <c r="L35">
        <v>210</v>
      </c>
      <c r="M35">
        <v>60</v>
      </c>
      <c r="N35">
        <v>60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60</v>
      </c>
      <c r="Z35">
        <v>0</v>
      </c>
      <c r="AA35">
        <v>0</v>
      </c>
      <c r="AB35">
        <v>60</v>
      </c>
      <c r="AC35">
        <v>2</v>
      </c>
      <c r="AD35">
        <v>58</v>
      </c>
      <c r="AE35">
        <v>2</v>
      </c>
      <c r="AF35">
        <v>1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  <c r="AQ35">
        <v>1</v>
      </c>
      <c r="AR35">
        <v>0</v>
      </c>
      <c r="AS35">
        <v>0</v>
      </c>
      <c r="AT35">
        <v>0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3</v>
      </c>
      <c r="BD35">
        <v>0</v>
      </c>
      <c r="BE35">
        <v>0</v>
      </c>
      <c r="BF35">
        <v>1</v>
      </c>
      <c r="BG35">
        <v>1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3</v>
      </c>
      <c r="BO35">
        <v>36</v>
      </c>
      <c r="BP35">
        <v>26</v>
      </c>
      <c r="BQ35">
        <v>0</v>
      </c>
      <c r="BR35">
        <v>0</v>
      </c>
      <c r="BS35">
        <v>2</v>
      </c>
      <c r="BT35">
        <v>1</v>
      </c>
      <c r="BU35">
        <v>0</v>
      </c>
      <c r="BV35">
        <v>0</v>
      </c>
      <c r="BW35">
        <v>0</v>
      </c>
      <c r="BX35">
        <v>0</v>
      </c>
      <c r="BY35">
        <v>7</v>
      </c>
      <c r="BZ35">
        <v>36</v>
      </c>
      <c r="CA35">
        <v>1</v>
      </c>
      <c r="CB35">
        <v>0</v>
      </c>
      <c r="CC35">
        <v>0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1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1</v>
      </c>
      <c r="CY35">
        <v>3</v>
      </c>
      <c r="CZ35">
        <v>1</v>
      </c>
      <c r="DA35">
        <v>0</v>
      </c>
      <c r="DB35">
        <v>0</v>
      </c>
      <c r="DC35">
        <v>1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0</v>
      </c>
      <c r="DJ35">
        <v>3</v>
      </c>
      <c r="DK35">
        <v>2</v>
      </c>
      <c r="DL35">
        <v>2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2</v>
      </c>
      <c r="DW35">
        <v>9</v>
      </c>
      <c r="DX35">
        <v>1</v>
      </c>
      <c r="DY35">
        <v>0</v>
      </c>
      <c r="DZ35">
        <v>0</v>
      </c>
      <c r="EA35">
        <v>0</v>
      </c>
      <c r="EB35">
        <v>0</v>
      </c>
      <c r="EC35">
        <v>5</v>
      </c>
      <c r="ED35">
        <v>3</v>
      </c>
      <c r="EE35">
        <v>0</v>
      </c>
      <c r="EF35">
        <v>0</v>
      </c>
      <c r="EG35">
        <v>0</v>
      </c>
      <c r="EH35">
        <v>9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</row>
    <row r="36" spans="1:172" ht="14.25">
      <c r="A36">
        <v>31</v>
      </c>
      <c r="B36" t="str">
        <f t="shared" si="4"/>
        <v>100303</v>
      </c>
      <c r="C36" t="str">
        <f t="shared" si="5"/>
        <v>Sędziejowice</v>
      </c>
      <c r="D36" t="str">
        <f t="shared" si="0"/>
        <v>łaski</v>
      </c>
      <c r="E36" t="str">
        <f t="shared" si="1"/>
        <v>łódzkie</v>
      </c>
      <c r="F36">
        <v>6</v>
      </c>
      <c r="G36" t="str">
        <f>"Remiza OSP w Grabnie, Grabno 2, 98-160 Sędziejowice"</f>
        <v>Remiza OSP w Grabnie, Grabno 2, 98-160 Sędziejowice</v>
      </c>
      <c r="H36">
        <v>817</v>
      </c>
      <c r="I36">
        <v>817</v>
      </c>
      <c r="J36">
        <v>0</v>
      </c>
      <c r="K36">
        <v>570</v>
      </c>
      <c r="L36">
        <v>430</v>
      </c>
      <c r="M36">
        <v>140</v>
      </c>
      <c r="N36">
        <v>140</v>
      </c>
      <c r="O36">
        <v>0</v>
      </c>
      <c r="P36">
        <v>0</v>
      </c>
      <c r="Q36">
        <v>5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140</v>
      </c>
      <c r="Z36">
        <v>0</v>
      </c>
      <c r="AA36">
        <v>0</v>
      </c>
      <c r="AB36">
        <v>140</v>
      </c>
      <c r="AC36">
        <v>4</v>
      </c>
      <c r="AD36">
        <v>136</v>
      </c>
      <c r="AE36">
        <v>3</v>
      </c>
      <c r="AF36">
        <v>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1</v>
      </c>
      <c r="AM36">
        <v>0</v>
      </c>
      <c r="AN36">
        <v>0</v>
      </c>
      <c r="AO36">
        <v>0</v>
      </c>
      <c r="AP36">
        <v>3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5</v>
      </c>
      <c r="BD36">
        <v>1</v>
      </c>
      <c r="BE36">
        <v>4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5</v>
      </c>
      <c r="BO36">
        <v>81</v>
      </c>
      <c r="BP36">
        <v>54</v>
      </c>
      <c r="BQ36">
        <v>5</v>
      </c>
      <c r="BR36">
        <v>1</v>
      </c>
      <c r="BS36">
        <v>15</v>
      </c>
      <c r="BT36">
        <v>0</v>
      </c>
      <c r="BU36">
        <v>2</v>
      </c>
      <c r="BV36">
        <v>0</v>
      </c>
      <c r="BW36">
        <v>0</v>
      </c>
      <c r="BX36">
        <v>0</v>
      </c>
      <c r="BY36">
        <v>4</v>
      </c>
      <c r="BZ36">
        <v>81</v>
      </c>
      <c r="CA36">
        <v>2</v>
      </c>
      <c r="CB36">
        <v>0</v>
      </c>
      <c r="CC36">
        <v>0</v>
      </c>
      <c r="CD36">
        <v>0</v>
      </c>
      <c r="CE36">
        <v>2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2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0</v>
      </c>
      <c r="CW36">
        <v>0</v>
      </c>
      <c r="CX36">
        <v>1</v>
      </c>
      <c r="CY36">
        <v>9</v>
      </c>
      <c r="CZ36">
        <v>6</v>
      </c>
      <c r="DA36">
        <v>1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2</v>
      </c>
      <c r="DI36">
        <v>0</v>
      </c>
      <c r="DJ36">
        <v>9</v>
      </c>
      <c r="DK36">
        <v>21</v>
      </c>
      <c r="DL36">
        <v>17</v>
      </c>
      <c r="DM36">
        <v>1</v>
      </c>
      <c r="DN36">
        <v>0</v>
      </c>
      <c r="DO36">
        <v>0</v>
      </c>
      <c r="DP36">
        <v>0</v>
      </c>
      <c r="DQ36">
        <v>2</v>
      </c>
      <c r="DR36">
        <v>1</v>
      </c>
      <c r="DS36">
        <v>0</v>
      </c>
      <c r="DT36">
        <v>0</v>
      </c>
      <c r="DU36">
        <v>0</v>
      </c>
      <c r="DV36">
        <v>21</v>
      </c>
      <c r="DW36">
        <v>13</v>
      </c>
      <c r="DX36">
        <v>5</v>
      </c>
      <c r="DY36">
        <v>2</v>
      </c>
      <c r="DZ36">
        <v>0</v>
      </c>
      <c r="EA36">
        <v>0</v>
      </c>
      <c r="EB36">
        <v>0</v>
      </c>
      <c r="EC36">
        <v>1</v>
      </c>
      <c r="ED36">
        <v>4</v>
      </c>
      <c r="EE36">
        <v>0</v>
      </c>
      <c r="EF36">
        <v>1</v>
      </c>
      <c r="EG36">
        <v>0</v>
      </c>
      <c r="EH36">
        <v>13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1</v>
      </c>
      <c r="ET36">
        <v>0</v>
      </c>
      <c r="EU36">
        <v>1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1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</row>
    <row r="37" spans="1:172" ht="14.25">
      <c r="A37">
        <v>32</v>
      </c>
      <c r="B37" t="str">
        <f t="shared" si="4"/>
        <v>100303</v>
      </c>
      <c r="C37" t="str">
        <f t="shared" si="5"/>
        <v>Sędziejowice</v>
      </c>
      <c r="D37" t="str">
        <f t="shared" si="0"/>
        <v>łaski</v>
      </c>
      <c r="E37" t="str">
        <f t="shared" si="1"/>
        <v>łódzkie</v>
      </c>
      <c r="F37">
        <v>7</v>
      </c>
      <c r="G37" t="str">
        <f>"Gminny Ośrodek Kultury w Sędziejowicach, Wieluńska 7, 98-160 Sędziejowice"</f>
        <v>Gminny Ośrodek Kultury w Sędziejowicach, Wieluńska 7, 98-160 Sędziejowice</v>
      </c>
      <c r="H37">
        <v>854</v>
      </c>
      <c r="I37">
        <v>854</v>
      </c>
      <c r="J37">
        <v>0</v>
      </c>
      <c r="K37">
        <v>598</v>
      </c>
      <c r="L37">
        <v>467</v>
      </c>
      <c r="M37">
        <v>131</v>
      </c>
      <c r="N37">
        <v>131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131</v>
      </c>
      <c r="Z37">
        <v>0</v>
      </c>
      <c r="AA37">
        <v>0</v>
      </c>
      <c r="AB37">
        <v>131</v>
      </c>
      <c r="AC37">
        <v>3</v>
      </c>
      <c r="AD37">
        <v>128</v>
      </c>
      <c r="AE37">
        <v>5</v>
      </c>
      <c r="AF37">
        <v>2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2</v>
      </c>
      <c r="AO37">
        <v>0</v>
      </c>
      <c r="AP37">
        <v>5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4</v>
      </c>
      <c r="BD37">
        <v>3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4</v>
      </c>
      <c r="BO37">
        <v>63</v>
      </c>
      <c r="BP37">
        <v>57</v>
      </c>
      <c r="BQ37">
        <v>1</v>
      </c>
      <c r="BR37">
        <v>2</v>
      </c>
      <c r="BS37">
        <v>0</v>
      </c>
      <c r="BT37">
        <v>0</v>
      </c>
      <c r="BU37">
        <v>0</v>
      </c>
      <c r="BV37">
        <v>1</v>
      </c>
      <c r="BW37">
        <v>0</v>
      </c>
      <c r="BX37">
        <v>0</v>
      </c>
      <c r="BY37">
        <v>2</v>
      </c>
      <c r="BZ37">
        <v>63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2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1</v>
      </c>
      <c r="CU37">
        <v>0</v>
      </c>
      <c r="CV37">
        <v>0</v>
      </c>
      <c r="CW37">
        <v>0</v>
      </c>
      <c r="CX37">
        <v>2</v>
      </c>
      <c r="CY37">
        <v>12</v>
      </c>
      <c r="CZ37">
        <v>4</v>
      </c>
      <c r="DA37">
        <v>1</v>
      </c>
      <c r="DB37">
        <v>0</v>
      </c>
      <c r="DC37">
        <v>0</v>
      </c>
      <c r="DD37">
        <v>1</v>
      </c>
      <c r="DE37">
        <v>1</v>
      </c>
      <c r="DF37">
        <v>1</v>
      </c>
      <c r="DG37">
        <v>1</v>
      </c>
      <c r="DH37">
        <v>2</v>
      </c>
      <c r="DI37">
        <v>1</v>
      </c>
      <c r="DJ37">
        <v>12</v>
      </c>
      <c r="DK37">
        <v>20</v>
      </c>
      <c r="DL37">
        <v>19</v>
      </c>
      <c r="DM37">
        <v>1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20</v>
      </c>
      <c r="DW37">
        <v>20</v>
      </c>
      <c r="DX37">
        <v>4</v>
      </c>
      <c r="DY37">
        <v>2</v>
      </c>
      <c r="DZ37">
        <v>0</v>
      </c>
      <c r="EA37">
        <v>1</v>
      </c>
      <c r="EB37">
        <v>1</v>
      </c>
      <c r="EC37">
        <v>10</v>
      </c>
      <c r="ED37">
        <v>1</v>
      </c>
      <c r="EE37">
        <v>1</v>
      </c>
      <c r="EF37">
        <v>0</v>
      </c>
      <c r="EG37">
        <v>0</v>
      </c>
      <c r="EH37">
        <v>20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2</v>
      </c>
      <c r="ET37">
        <v>2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2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</row>
    <row r="38" spans="1:172" ht="14.25">
      <c r="A38">
        <v>33</v>
      </c>
      <c r="B38" t="str">
        <f aca="true" t="shared" si="6" ref="B38:B44">"100304"</f>
        <v>100304</v>
      </c>
      <c r="C38" t="str">
        <f aca="true" t="shared" si="7" ref="C38:C44">"Widawa"</f>
        <v>Widawa</v>
      </c>
      <c r="D38" t="str">
        <f t="shared" si="0"/>
        <v>łaski</v>
      </c>
      <c r="E38" t="str">
        <f t="shared" si="1"/>
        <v>łódzkie</v>
      </c>
      <c r="F38">
        <v>1</v>
      </c>
      <c r="G38" t="str">
        <f>"Gminny Ośrodek Kultury, Mickiewicza 3, 98-170 Widawa"</f>
        <v>Gminny Ośrodek Kultury, Mickiewicza 3, 98-170 Widawa</v>
      </c>
      <c r="H38">
        <v>1265</v>
      </c>
      <c r="I38">
        <v>1265</v>
      </c>
      <c r="J38">
        <v>0</v>
      </c>
      <c r="K38">
        <v>880</v>
      </c>
      <c r="L38">
        <v>704</v>
      </c>
      <c r="M38">
        <v>176</v>
      </c>
      <c r="N38">
        <v>176</v>
      </c>
      <c r="O38">
        <v>0</v>
      </c>
      <c r="P38">
        <v>0</v>
      </c>
      <c r="Q38">
        <v>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176</v>
      </c>
      <c r="Z38">
        <v>0</v>
      </c>
      <c r="AA38">
        <v>0</v>
      </c>
      <c r="AB38">
        <v>176</v>
      </c>
      <c r="AC38">
        <v>9</v>
      </c>
      <c r="AD38">
        <v>167</v>
      </c>
      <c r="AE38">
        <v>3</v>
      </c>
      <c r="AF38">
        <v>1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3</v>
      </c>
      <c r="AQ38">
        <v>2</v>
      </c>
      <c r="AR38">
        <v>2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2</v>
      </c>
      <c r="BC38">
        <v>2</v>
      </c>
      <c r="BD38">
        <v>2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2</v>
      </c>
      <c r="BO38">
        <v>121</v>
      </c>
      <c r="BP38">
        <v>98</v>
      </c>
      <c r="BQ38">
        <v>0</v>
      </c>
      <c r="BR38">
        <v>6</v>
      </c>
      <c r="BS38">
        <v>13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4</v>
      </c>
      <c r="BZ38">
        <v>121</v>
      </c>
      <c r="CA38">
        <v>1</v>
      </c>
      <c r="CB38">
        <v>0</v>
      </c>
      <c r="CC38">
        <v>0</v>
      </c>
      <c r="CD38">
        <v>0</v>
      </c>
      <c r="CE38">
        <v>1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1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4</v>
      </c>
      <c r="CZ38">
        <v>4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4</v>
      </c>
      <c r="DK38">
        <v>18</v>
      </c>
      <c r="DL38">
        <v>8</v>
      </c>
      <c r="DM38">
        <v>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2</v>
      </c>
      <c r="DT38">
        <v>0</v>
      </c>
      <c r="DU38">
        <v>0</v>
      </c>
      <c r="DV38">
        <v>18</v>
      </c>
      <c r="DW38">
        <v>14</v>
      </c>
      <c r="DX38">
        <v>10</v>
      </c>
      <c r="DY38">
        <v>0</v>
      </c>
      <c r="DZ38">
        <v>1</v>
      </c>
      <c r="EA38">
        <v>0</v>
      </c>
      <c r="EB38">
        <v>0</v>
      </c>
      <c r="EC38">
        <v>0</v>
      </c>
      <c r="ED38">
        <v>0</v>
      </c>
      <c r="EE38">
        <v>2</v>
      </c>
      <c r="EF38">
        <v>1</v>
      </c>
      <c r="EG38">
        <v>0</v>
      </c>
      <c r="EH38">
        <v>14</v>
      </c>
      <c r="EI38">
        <v>1</v>
      </c>
      <c r="EJ38">
        <v>0</v>
      </c>
      <c r="EK38">
        <v>1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1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1</v>
      </c>
      <c r="FP38">
        <v>1</v>
      </c>
    </row>
    <row r="39" spans="1:172" ht="14.25">
      <c r="A39">
        <v>34</v>
      </c>
      <c r="B39" t="str">
        <f t="shared" si="6"/>
        <v>100304</v>
      </c>
      <c r="C39" t="str">
        <f t="shared" si="7"/>
        <v>Widawa</v>
      </c>
      <c r="D39" t="str">
        <f t="shared" si="0"/>
        <v>łaski</v>
      </c>
      <c r="E39" t="str">
        <f t="shared" si="1"/>
        <v>łódzkie</v>
      </c>
      <c r="F39">
        <v>2</v>
      </c>
      <c r="G39" t="str">
        <f>"Szkoła Podstawowa, Brzyków 23, 98-170 Widawa"</f>
        <v>Szkoła Podstawowa, Brzyków 23, 98-170 Widawa</v>
      </c>
      <c r="H39">
        <v>796</v>
      </c>
      <c r="I39">
        <v>796</v>
      </c>
      <c r="J39">
        <v>0</v>
      </c>
      <c r="K39">
        <v>560</v>
      </c>
      <c r="L39">
        <v>435</v>
      </c>
      <c r="M39">
        <v>125</v>
      </c>
      <c r="N39">
        <v>125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125</v>
      </c>
      <c r="Z39">
        <v>0</v>
      </c>
      <c r="AA39">
        <v>0</v>
      </c>
      <c r="AB39">
        <v>125</v>
      </c>
      <c r="AC39">
        <v>3</v>
      </c>
      <c r="AD39">
        <v>122</v>
      </c>
      <c r="AE39">
        <v>5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1</v>
      </c>
      <c r="AO39">
        <v>1</v>
      </c>
      <c r="AP39">
        <v>5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9</v>
      </c>
      <c r="BD39">
        <v>3</v>
      </c>
      <c r="BE39">
        <v>2</v>
      </c>
      <c r="BF39">
        <v>0</v>
      </c>
      <c r="BG39">
        <v>0</v>
      </c>
      <c r="BH39">
        <v>0</v>
      </c>
      <c r="BI39">
        <v>1</v>
      </c>
      <c r="BJ39">
        <v>0</v>
      </c>
      <c r="BK39">
        <v>2</v>
      </c>
      <c r="BL39">
        <v>1</v>
      </c>
      <c r="BM39">
        <v>0</v>
      </c>
      <c r="BN39">
        <v>9</v>
      </c>
      <c r="BO39">
        <v>50</v>
      </c>
      <c r="BP39">
        <v>44</v>
      </c>
      <c r="BQ39">
        <v>0</v>
      </c>
      <c r="BR39">
        <v>0</v>
      </c>
      <c r="BS39">
        <v>5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50</v>
      </c>
      <c r="CA39">
        <v>4</v>
      </c>
      <c r="CB39">
        <v>1</v>
      </c>
      <c r="CC39">
        <v>3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4</v>
      </c>
      <c r="CM39">
        <v>1</v>
      </c>
      <c r="CN39">
        <v>0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1</v>
      </c>
      <c r="CY39">
        <v>5</v>
      </c>
      <c r="CZ39">
        <v>3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0</v>
      </c>
      <c r="DI39">
        <v>0</v>
      </c>
      <c r="DJ39">
        <v>5</v>
      </c>
      <c r="DK39">
        <v>19</v>
      </c>
      <c r="DL39">
        <v>8</v>
      </c>
      <c r="DM39">
        <v>10</v>
      </c>
      <c r="DN39">
        <v>0</v>
      </c>
      <c r="DO39">
        <v>1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19</v>
      </c>
      <c r="DW39">
        <v>27</v>
      </c>
      <c r="DX39">
        <v>26</v>
      </c>
      <c r="DY39">
        <v>1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27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1</v>
      </c>
      <c r="ET39">
        <v>1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1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0</v>
      </c>
      <c r="FN39">
        <v>0</v>
      </c>
      <c r="FO39">
        <v>0</v>
      </c>
      <c r="FP39">
        <v>1</v>
      </c>
    </row>
    <row r="40" spans="1:172" ht="14.25">
      <c r="A40">
        <v>35</v>
      </c>
      <c r="B40" t="str">
        <f t="shared" si="6"/>
        <v>100304</v>
      </c>
      <c r="C40" t="str">
        <f t="shared" si="7"/>
        <v>Widawa</v>
      </c>
      <c r="D40" t="str">
        <f t="shared" si="0"/>
        <v>łaski</v>
      </c>
      <c r="E40" t="str">
        <f t="shared" si="1"/>
        <v>łódzkie</v>
      </c>
      <c r="F40">
        <v>3</v>
      </c>
      <c r="G40" t="str">
        <f>"Zespół Szkół, Chociw 191, 98-170 Widawa"</f>
        <v>Zespół Szkół, Chociw 191, 98-170 Widawa</v>
      </c>
      <c r="H40">
        <v>1154</v>
      </c>
      <c r="I40">
        <v>1154</v>
      </c>
      <c r="J40">
        <v>0</v>
      </c>
      <c r="K40">
        <v>810</v>
      </c>
      <c r="L40">
        <v>622</v>
      </c>
      <c r="M40">
        <v>188</v>
      </c>
      <c r="N40">
        <v>188</v>
      </c>
      <c r="O40">
        <v>0</v>
      </c>
      <c r="P40">
        <v>0</v>
      </c>
      <c r="Q40">
        <v>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188</v>
      </c>
      <c r="Z40">
        <v>0</v>
      </c>
      <c r="AA40">
        <v>0</v>
      </c>
      <c r="AB40">
        <v>188</v>
      </c>
      <c r="AC40">
        <v>10</v>
      </c>
      <c r="AD40">
        <v>178</v>
      </c>
      <c r="AE40">
        <v>3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3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14</v>
      </c>
      <c r="BD40">
        <v>9</v>
      </c>
      <c r="BE40">
        <v>2</v>
      </c>
      <c r="BF40">
        <v>0</v>
      </c>
      <c r="BG40">
        <v>1</v>
      </c>
      <c r="BH40">
        <v>0</v>
      </c>
      <c r="BI40">
        <v>1</v>
      </c>
      <c r="BJ40">
        <v>0</v>
      </c>
      <c r="BK40">
        <v>0</v>
      </c>
      <c r="BL40">
        <v>0</v>
      </c>
      <c r="BM40">
        <v>1</v>
      </c>
      <c r="BN40">
        <v>14</v>
      </c>
      <c r="BO40">
        <v>97</v>
      </c>
      <c r="BP40">
        <v>63</v>
      </c>
      <c r="BQ40">
        <v>7</v>
      </c>
      <c r="BR40">
        <v>4</v>
      </c>
      <c r="BS40">
        <v>17</v>
      </c>
      <c r="BT40">
        <v>1</v>
      </c>
      <c r="BU40">
        <v>1</v>
      </c>
      <c r="BV40">
        <v>2</v>
      </c>
      <c r="BW40">
        <v>0</v>
      </c>
      <c r="BX40">
        <v>1</v>
      </c>
      <c r="BY40">
        <v>1</v>
      </c>
      <c r="BZ40">
        <v>97</v>
      </c>
      <c r="CA40">
        <v>5</v>
      </c>
      <c r="CB40">
        <v>0</v>
      </c>
      <c r="CC40">
        <v>1</v>
      </c>
      <c r="CD40">
        <v>1</v>
      </c>
      <c r="CE40">
        <v>0</v>
      </c>
      <c r="CF40">
        <v>0</v>
      </c>
      <c r="CG40">
        <v>0</v>
      </c>
      <c r="CH40">
        <v>2</v>
      </c>
      <c r="CI40">
        <v>1</v>
      </c>
      <c r="CJ40">
        <v>0</v>
      </c>
      <c r="CK40">
        <v>0</v>
      </c>
      <c r="CL40">
        <v>5</v>
      </c>
      <c r="CM40">
        <v>4</v>
      </c>
      <c r="CN40">
        <v>3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4</v>
      </c>
      <c r="CY40">
        <v>11</v>
      </c>
      <c r="CZ40">
        <v>7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</v>
      </c>
      <c r="DH40">
        <v>0</v>
      </c>
      <c r="DI40">
        <v>3</v>
      </c>
      <c r="DJ40">
        <v>11</v>
      </c>
      <c r="DK40">
        <v>33</v>
      </c>
      <c r="DL40">
        <v>27</v>
      </c>
      <c r="DM40">
        <v>5</v>
      </c>
      <c r="DN40">
        <v>0</v>
      </c>
      <c r="DO40">
        <v>0</v>
      </c>
      <c r="DP40">
        <v>0</v>
      </c>
      <c r="DQ40">
        <v>1</v>
      </c>
      <c r="DR40">
        <v>0</v>
      </c>
      <c r="DS40">
        <v>0</v>
      </c>
      <c r="DT40">
        <v>0</v>
      </c>
      <c r="DU40">
        <v>0</v>
      </c>
      <c r="DV40">
        <v>33</v>
      </c>
      <c r="DW40">
        <v>8</v>
      </c>
      <c r="DX40">
        <v>4</v>
      </c>
      <c r="DY40">
        <v>1</v>
      </c>
      <c r="DZ40">
        <v>0</v>
      </c>
      <c r="EA40">
        <v>0</v>
      </c>
      <c r="EB40">
        <v>0</v>
      </c>
      <c r="EC40">
        <v>1</v>
      </c>
      <c r="ED40">
        <v>1</v>
      </c>
      <c r="EE40">
        <v>1</v>
      </c>
      <c r="EF40">
        <v>0</v>
      </c>
      <c r="EG40">
        <v>0</v>
      </c>
      <c r="EH40">
        <v>8</v>
      </c>
      <c r="EI40">
        <v>2</v>
      </c>
      <c r="EJ40">
        <v>0</v>
      </c>
      <c r="EK40">
        <v>2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2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1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1</v>
      </c>
    </row>
    <row r="41" spans="1:172" ht="14.25">
      <c r="A41">
        <v>36</v>
      </c>
      <c r="B41" t="str">
        <f t="shared" si="6"/>
        <v>100304</v>
      </c>
      <c r="C41" t="str">
        <f t="shared" si="7"/>
        <v>Widawa</v>
      </c>
      <c r="D41" t="str">
        <f t="shared" si="0"/>
        <v>łaski</v>
      </c>
      <c r="E41" t="str">
        <f t="shared" si="1"/>
        <v>łódzkie</v>
      </c>
      <c r="F41">
        <v>4</v>
      </c>
      <c r="G41" t="str">
        <f>"Budynek wiejski, Zborów 18, 98-170 Widawa"</f>
        <v>Budynek wiejski, Zborów 18, 98-170 Widawa</v>
      </c>
      <c r="H41">
        <v>730</v>
      </c>
      <c r="I41">
        <v>730</v>
      </c>
      <c r="J41">
        <v>0</v>
      </c>
      <c r="K41">
        <v>510</v>
      </c>
      <c r="L41">
        <v>378</v>
      </c>
      <c r="M41">
        <v>132</v>
      </c>
      <c r="N41">
        <v>132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132</v>
      </c>
      <c r="Z41">
        <v>0</v>
      </c>
      <c r="AA41">
        <v>0</v>
      </c>
      <c r="AB41">
        <v>132</v>
      </c>
      <c r="AC41">
        <v>9</v>
      </c>
      <c r="AD41">
        <v>123</v>
      </c>
      <c r="AE41">
        <v>1</v>
      </c>
      <c r="AF41">
        <v>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2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2</v>
      </c>
      <c r="BO41">
        <v>75</v>
      </c>
      <c r="BP41">
        <v>55</v>
      </c>
      <c r="BQ41">
        <v>1</v>
      </c>
      <c r="BR41">
        <v>2</v>
      </c>
      <c r="BS41">
        <v>14</v>
      </c>
      <c r="BT41">
        <v>0</v>
      </c>
      <c r="BU41">
        <v>0</v>
      </c>
      <c r="BV41">
        <v>1</v>
      </c>
      <c r="BW41">
        <v>0</v>
      </c>
      <c r="BX41">
        <v>0</v>
      </c>
      <c r="BY41">
        <v>2</v>
      </c>
      <c r="BZ41">
        <v>75</v>
      </c>
      <c r="CA41">
        <v>7</v>
      </c>
      <c r="CB41">
        <v>1</v>
      </c>
      <c r="CC41">
        <v>4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1</v>
      </c>
      <c r="CJ41">
        <v>0</v>
      </c>
      <c r="CK41">
        <v>0</v>
      </c>
      <c r="CL41">
        <v>7</v>
      </c>
      <c r="CM41">
        <v>5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4</v>
      </c>
      <c r="CU41">
        <v>0</v>
      </c>
      <c r="CV41">
        <v>0</v>
      </c>
      <c r="CW41">
        <v>0</v>
      </c>
      <c r="CX41">
        <v>5</v>
      </c>
      <c r="CY41">
        <v>5</v>
      </c>
      <c r="CZ41">
        <v>2</v>
      </c>
      <c r="DA41">
        <v>1</v>
      </c>
      <c r="DB41">
        <v>0</v>
      </c>
      <c r="DC41">
        <v>0</v>
      </c>
      <c r="DD41">
        <v>0</v>
      </c>
      <c r="DE41">
        <v>1</v>
      </c>
      <c r="DF41">
        <v>1</v>
      </c>
      <c r="DG41">
        <v>0</v>
      </c>
      <c r="DH41">
        <v>0</v>
      </c>
      <c r="DI41">
        <v>0</v>
      </c>
      <c r="DJ41">
        <v>5</v>
      </c>
      <c r="DK41">
        <v>9</v>
      </c>
      <c r="DL41">
        <v>8</v>
      </c>
      <c r="DM41">
        <v>0</v>
      </c>
      <c r="DN41">
        <v>0</v>
      </c>
      <c r="DO41">
        <v>1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9</v>
      </c>
      <c r="DW41">
        <v>19</v>
      </c>
      <c r="DX41">
        <v>14</v>
      </c>
      <c r="DY41">
        <v>2</v>
      </c>
      <c r="DZ41">
        <v>0</v>
      </c>
      <c r="EA41">
        <v>0</v>
      </c>
      <c r="EB41">
        <v>0</v>
      </c>
      <c r="EC41">
        <v>3</v>
      </c>
      <c r="ED41">
        <v>0</v>
      </c>
      <c r="EE41">
        <v>0</v>
      </c>
      <c r="EF41">
        <v>0</v>
      </c>
      <c r="EG41">
        <v>0</v>
      </c>
      <c r="EH41">
        <v>19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</row>
    <row r="42" spans="1:172" ht="14.25">
      <c r="A42">
        <v>37</v>
      </c>
      <c r="B42" t="str">
        <f t="shared" si="6"/>
        <v>100304</v>
      </c>
      <c r="C42" t="str">
        <f t="shared" si="7"/>
        <v>Widawa</v>
      </c>
      <c r="D42" t="str">
        <f t="shared" si="0"/>
        <v>łaski</v>
      </c>
      <c r="E42" t="str">
        <f t="shared" si="1"/>
        <v>łódzkie</v>
      </c>
      <c r="F42">
        <v>5</v>
      </c>
      <c r="G42" t="str">
        <f>"Szkoła Podstawowa, Ochle 2, 98-170 Widawa"</f>
        <v>Szkoła Podstawowa, Ochle 2, 98-170 Widawa</v>
      </c>
      <c r="H42">
        <v>470</v>
      </c>
      <c r="I42">
        <v>470</v>
      </c>
      <c r="J42">
        <v>0</v>
      </c>
      <c r="K42">
        <v>330</v>
      </c>
      <c r="L42">
        <v>256</v>
      </c>
      <c r="M42">
        <v>74</v>
      </c>
      <c r="N42">
        <v>74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74</v>
      </c>
      <c r="Z42">
        <v>0</v>
      </c>
      <c r="AA42">
        <v>0</v>
      </c>
      <c r="AB42">
        <v>74</v>
      </c>
      <c r="AC42">
        <v>2</v>
      </c>
      <c r="AD42">
        <v>72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2</v>
      </c>
      <c r="BD42">
        <v>1</v>
      </c>
      <c r="BE42">
        <v>1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2</v>
      </c>
      <c r="BO42">
        <v>49</v>
      </c>
      <c r="BP42">
        <v>41</v>
      </c>
      <c r="BQ42">
        <v>0</v>
      </c>
      <c r="BR42">
        <v>0</v>
      </c>
      <c r="BS42">
        <v>7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0</v>
      </c>
      <c r="BZ42">
        <v>49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2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1</v>
      </c>
      <c r="CU42">
        <v>0</v>
      </c>
      <c r="CV42">
        <v>0</v>
      </c>
      <c r="CW42">
        <v>0</v>
      </c>
      <c r="CX42">
        <v>2</v>
      </c>
      <c r="CY42">
        <v>3</v>
      </c>
      <c r="CZ42">
        <v>0</v>
      </c>
      <c r="DA42">
        <v>1</v>
      </c>
      <c r="DB42">
        <v>0</v>
      </c>
      <c r="DC42">
        <v>0</v>
      </c>
      <c r="DD42">
        <v>0</v>
      </c>
      <c r="DE42">
        <v>0</v>
      </c>
      <c r="DF42">
        <v>1</v>
      </c>
      <c r="DG42">
        <v>0</v>
      </c>
      <c r="DH42">
        <v>0</v>
      </c>
      <c r="DI42">
        <v>1</v>
      </c>
      <c r="DJ42">
        <v>3</v>
      </c>
      <c r="DK42">
        <v>5</v>
      </c>
      <c r="DL42">
        <v>2</v>
      </c>
      <c r="DM42">
        <v>2</v>
      </c>
      <c r="DN42">
        <v>1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5</v>
      </c>
      <c r="DW42">
        <v>3</v>
      </c>
      <c r="DX42">
        <v>2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1</v>
      </c>
      <c r="EE42">
        <v>0</v>
      </c>
      <c r="EF42">
        <v>0</v>
      </c>
      <c r="EG42">
        <v>0</v>
      </c>
      <c r="EH42">
        <v>3</v>
      </c>
      <c r="EI42">
        <v>1</v>
      </c>
      <c r="EJ42">
        <v>0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1</v>
      </c>
      <c r="ES42">
        <v>4</v>
      </c>
      <c r="ET42">
        <v>4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4</v>
      </c>
      <c r="FE42">
        <v>2</v>
      </c>
      <c r="FF42">
        <v>0</v>
      </c>
      <c r="FG42">
        <v>0</v>
      </c>
      <c r="FH42">
        <v>1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1</v>
      </c>
      <c r="FP42">
        <v>2</v>
      </c>
    </row>
    <row r="43" spans="1:172" ht="14.25">
      <c r="A43">
        <v>38</v>
      </c>
      <c r="B43" t="str">
        <f t="shared" si="6"/>
        <v>100304</v>
      </c>
      <c r="C43" t="str">
        <f t="shared" si="7"/>
        <v>Widawa</v>
      </c>
      <c r="D43" t="str">
        <f t="shared" si="0"/>
        <v>łaski</v>
      </c>
      <c r="E43" t="str">
        <f t="shared" si="1"/>
        <v>łódzkie</v>
      </c>
      <c r="F43">
        <v>6</v>
      </c>
      <c r="G43" t="str">
        <f>"Szkoła Podstawowa, Restarzew Cmentarny 11, 98-170 Widawa"</f>
        <v>Szkoła Podstawowa, Restarzew Cmentarny 11, 98-170 Widawa</v>
      </c>
      <c r="H43">
        <v>611</v>
      </c>
      <c r="I43">
        <v>611</v>
      </c>
      <c r="J43">
        <v>0</v>
      </c>
      <c r="K43">
        <v>430</v>
      </c>
      <c r="L43">
        <v>337</v>
      </c>
      <c r="M43">
        <v>93</v>
      </c>
      <c r="N43">
        <v>93</v>
      </c>
      <c r="O43">
        <v>0</v>
      </c>
      <c r="P43">
        <v>0</v>
      </c>
      <c r="Q43">
        <v>2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93</v>
      </c>
      <c r="Z43">
        <v>0</v>
      </c>
      <c r="AA43">
        <v>0</v>
      </c>
      <c r="AB43">
        <v>93</v>
      </c>
      <c r="AC43">
        <v>5</v>
      </c>
      <c r="AD43">
        <v>88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2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57</v>
      </c>
      <c r="BP43">
        <v>41</v>
      </c>
      <c r="BQ43">
        <v>0</v>
      </c>
      <c r="BR43">
        <v>2</v>
      </c>
      <c r="BS43">
        <v>12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57</v>
      </c>
      <c r="CA43">
        <v>2</v>
      </c>
      <c r="CB43">
        <v>0</v>
      </c>
      <c r="CC43">
        <v>0</v>
      </c>
      <c r="CD43">
        <v>0</v>
      </c>
      <c r="CE43">
        <v>2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1</v>
      </c>
      <c r="CU43">
        <v>0</v>
      </c>
      <c r="CV43">
        <v>0</v>
      </c>
      <c r="CW43">
        <v>0</v>
      </c>
      <c r="CX43">
        <v>1</v>
      </c>
      <c r="CY43">
        <v>5</v>
      </c>
      <c r="CZ43">
        <v>4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0</v>
      </c>
      <c r="DH43">
        <v>0</v>
      </c>
      <c r="DI43">
        <v>0</v>
      </c>
      <c r="DJ43">
        <v>5</v>
      </c>
      <c r="DK43">
        <v>12</v>
      </c>
      <c r="DL43">
        <v>7</v>
      </c>
      <c r="DM43">
        <v>4</v>
      </c>
      <c r="DN43">
        <v>0</v>
      </c>
      <c r="DO43">
        <v>1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12</v>
      </c>
      <c r="DW43">
        <v>7</v>
      </c>
      <c r="DX43">
        <v>3</v>
      </c>
      <c r="DY43">
        <v>3</v>
      </c>
      <c r="DZ43">
        <v>0</v>
      </c>
      <c r="EA43">
        <v>0</v>
      </c>
      <c r="EB43">
        <v>1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7</v>
      </c>
      <c r="EI43">
        <v>2</v>
      </c>
      <c r="EJ43">
        <v>0</v>
      </c>
      <c r="EK43">
        <v>2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2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</row>
    <row r="44" spans="1:172" ht="14.25">
      <c r="A44">
        <v>39</v>
      </c>
      <c r="B44" t="str">
        <f t="shared" si="6"/>
        <v>100304</v>
      </c>
      <c r="C44" t="str">
        <f t="shared" si="7"/>
        <v>Widawa</v>
      </c>
      <c r="D44" t="str">
        <f t="shared" si="0"/>
        <v>łaski</v>
      </c>
      <c r="E44" t="str">
        <f t="shared" si="1"/>
        <v>łódzkie</v>
      </c>
      <c r="F44">
        <v>7</v>
      </c>
      <c r="G44" t="str">
        <f>"Zespół Szkół, Wieluńska 17, 98-170 Widawa"</f>
        <v>Zespół Szkół, Wieluńska 17, 98-170 Widawa</v>
      </c>
      <c r="H44">
        <v>1400</v>
      </c>
      <c r="I44">
        <v>1400</v>
      </c>
      <c r="J44">
        <v>0</v>
      </c>
      <c r="K44">
        <v>980</v>
      </c>
      <c r="L44">
        <v>670</v>
      </c>
      <c r="M44">
        <v>310</v>
      </c>
      <c r="N44">
        <v>310</v>
      </c>
      <c r="O44">
        <v>0</v>
      </c>
      <c r="P44">
        <v>0</v>
      </c>
      <c r="Q44">
        <v>5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310</v>
      </c>
      <c r="Z44">
        <v>0</v>
      </c>
      <c r="AA44">
        <v>0</v>
      </c>
      <c r="AB44">
        <v>310</v>
      </c>
      <c r="AC44">
        <v>9</v>
      </c>
      <c r="AD44">
        <v>301</v>
      </c>
      <c r="AE44">
        <v>3</v>
      </c>
      <c r="AF44">
        <v>1</v>
      </c>
      <c r="AG44">
        <v>1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3</v>
      </c>
      <c r="AQ44">
        <v>2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2</v>
      </c>
      <c r="BC44">
        <v>10</v>
      </c>
      <c r="BD44">
        <v>6</v>
      </c>
      <c r="BE44">
        <v>1</v>
      </c>
      <c r="BF44">
        <v>0</v>
      </c>
      <c r="BG44">
        <v>1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1</v>
      </c>
      <c r="BN44">
        <v>10</v>
      </c>
      <c r="BO44">
        <v>172</v>
      </c>
      <c r="BP44">
        <v>141</v>
      </c>
      <c r="BQ44">
        <v>1</v>
      </c>
      <c r="BR44">
        <v>4</v>
      </c>
      <c r="BS44">
        <v>17</v>
      </c>
      <c r="BT44">
        <v>1</v>
      </c>
      <c r="BU44">
        <v>2</v>
      </c>
      <c r="BV44">
        <v>0</v>
      </c>
      <c r="BW44">
        <v>0</v>
      </c>
      <c r="BX44">
        <v>0</v>
      </c>
      <c r="BY44">
        <v>6</v>
      </c>
      <c r="BZ44">
        <v>172</v>
      </c>
      <c r="CA44">
        <v>2</v>
      </c>
      <c r="CB44">
        <v>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1</v>
      </c>
      <c r="CI44">
        <v>0</v>
      </c>
      <c r="CJ44">
        <v>0</v>
      </c>
      <c r="CK44">
        <v>0</v>
      </c>
      <c r="CL44">
        <v>2</v>
      </c>
      <c r="CM44">
        <v>10</v>
      </c>
      <c r="CN44">
        <v>3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6</v>
      </c>
      <c r="CU44">
        <v>0</v>
      </c>
      <c r="CV44">
        <v>0</v>
      </c>
      <c r="CW44">
        <v>1</v>
      </c>
      <c r="CX44">
        <v>10</v>
      </c>
      <c r="CY44">
        <v>27</v>
      </c>
      <c r="CZ44">
        <v>17</v>
      </c>
      <c r="DA44">
        <v>4</v>
      </c>
      <c r="DB44">
        <v>0</v>
      </c>
      <c r="DC44">
        <v>3</v>
      </c>
      <c r="DD44">
        <v>0</v>
      </c>
      <c r="DE44">
        <v>0</v>
      </c>
      <c r="DF44">
        <v>0</v>
      </c>
      <c r="DG44">
        <v>2</v>
      </c>
      <c r="DH44">
        <v>0</v>
      </c>
      <c r="DI44">
        <v>1</v>
      </c>
      <c r="DJ44">
        <v>27</v>
      </c>
      <c r="DK44">
        <v>50</v>
      </c>
      <c r="DL44">
        <v>27</v>
      </c>
      <c r="DM44">
        <v>12</v>
      </c>
      <c r="DN44">
        <v>1</v>
      </c>
      <c r="DO44">
        <v>6</v>
      </c>
      <c r="DP44">
        <v>0</v>
      </c>
      <c r="DQ44">
        <v>1</v>
      </c>
      <c r="DR44">
        <v>1</v>
      </c>
      <c r="DS44">
        <v>0</v>
      </c>
      <c r="DT44">
        <v>0</v>
      </c>
      <c r="DU44">
        <v>2</v>
      </c>
      <c r="DV44">
        <v>50</v>
      </c>
      <c r="DW44">
        <v>21</v>
      </c>
      <c r="DX44">
        <v>15</v>
      </c>
      <c r="DY44">
        <v>3</v>
      </c>
      <c r="DZ44">
        <v>0</v>
      </c>
      <c r="EA44">
        <v>0</v>
      </c>
      <c r="EB44">
        <v>1</v>
      </c>
      <c r="EC44">
        <v>1</v>
      </c>
      <c r="ED44">
        <v>0</v>
      </c>
      <c r="EE44">
        <v>1</v>
      </c>
      <c r="EF44">
        <v>0</v>
      </c>
      <c r="EG44">
        <v>0</v>
      </c>
      <c r="EH44">
        <v>21</v>
      </c>
      <c r="EI44">
        <v>2</v>
      </c>
      <c r="EJ44">
        <v>0</v>
      </c>
      <c r="EK44">
        <v>2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2</v>
      </c>
      <c r="ES44">
        <v>2</v>
      </c>
      <c r="ET44">
        <v>2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2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</row>
    <row r="45" spans="1:172" ht="14.25">
      <c r="A45">
        <v>40</v>
      </c>
      <c r="B45" t="str">
        <f>"100305"</f>
        <v>100305</v>
      </c>
      <c r="C45" t="str">
        <f>"Wodzierady"</f>
        <v>Wodzierady</v>
      </c>
      <c r="D45" t="str">
        <f t="shared" si="0"/>
        <v>łaski</v>
      </c>
      <c r="E45" t="str">
        <f t="shared" si="1"/>
        <v>łódzkie</v>
      </c>
      <c r="F45">
        <v>1</v>
      </c>
      <c r="G45" t="str">
        <f>"Urząd Gminy w Wodzieradach, Wodzierady 24, 98-105 Wodzierady"</f>
        <v>Urząd Gminy w Wodzieradach, Wodzierady 24, 98-105 Wodzierady</v>
      </c>
      <c r="H45">
        <v>1503</v>
      </c>
      <c r="I45">
        <v>1503</v>
      </c>
      <c r="J45">
        <v>0</v>
      </c>
      <c r="K45">
        <v>1050</v>
      </c>
      <c r="L45">
        <v>756</v>
      </c>
      <c r="M45">
        <v>294</v>
      </c>
      <c r="N45">
        <v>294</v>
      </c>
      <c r="O45">
        <v>0</v>
      </c>
      <c r="P45">
        <v>0</v>
      </c>
      <c r="Q45">
        <v>7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294</v>
      </c>
      <c r="Z45">
        <v>0</v>
      </c>
      <c r="AA45">
        <v>0</v>
      </c>
      <c r="AB45">
        <v>294</v>
      </c>
      <c r="AC45">
        <v>13</v>
      </c>
      <c r="AD45">
        <v>281</v>
      </c>
      <c r="AE45">
        <v>12</v>
      </c>
      <c r="AF45">
        <v>6</v>
      </c>
      <c r="AG45">
        <v>0</v>
      </c>
      <c r="AH45">
        <v>1</v>
      </c>
      <c r="AI45">
        <v>0</v>
      </c>
      <c r="AJ45">
        <v>0</v>
      </c>
      <c r="AK45">
        <v>3</v>
      </c>
      <c r="AL45">
        <v>1</v>
      </c>
      <c r="AM45">
        <v>0</v>
      </c>
      <c r="AN45">
        <v>1</v>
      </c>
      <c r="AO45">
        <v>0</v>
      </c>
      <c r="AP45">
        <v>12</v>
      </c>
      <c r="AQ45">
        <v>3</v>
      </c>
      <c r="AR45">
        <v>2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3</v>
      </c>
      <c r="BC45">
        <v>8</v>
      </c>
      <c r="BD45">
        <v>7</v>
      </c>
      <c r="BE45">
        <v>0</v>
      </c>
      <c r="BF45">
        <v>0</v>
      </c>
      <c r="BG45">
        <v>1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8</v>
      </c>
      <c r="BO45">
        <v>106</v>
      </c>
      <c r="BP45">
        <v>86</v>
      </c>
      <c r="BQ45">
        <v>4</v>
      </c>
      <c r="BR45">
        <v>5</v>
      </c>
      <c r="BS45">
        <v>6</v>
      </c>
      <c r="BT45">
        <v>1</v>
      </c>
      <c r="BU45">
        <v>0</v>
      </c>
      <c r="BV45">
        <v>0</v>
      </c>
      <c r="BW45">
        <v>0</v>
      </c>
      <c r="BX45">
        <v>2</v>
      </c>
      <c r="BY45">
        <v>2</v>
      </c>
      <c r="BZ45">
        <v>106</v>
      </c>
      <c r="CA45">
        <v>7</v>
      </c>
      <c r="CB45">
        <v>3</v>
      </c>
      <c r="CC45">
        <v>1</v>
      </c>
      <c r="CD45">
        <v>0</v>
      </c>
      <c r="CE45">
        <v>3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7</v>
      </c>
      <c r="CM45">
        <v>3</v>
      </c>
      <c r="CN45">
        <v>2</v>
      </c>
      <c r="CO45">
        <v>1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3</v>
      </c>
      <c r="CY45">
        <v>18</v>
      </c>
      <c r="CZ45">
        <v>11</v>
      </c>
      <c r="DA45">
        <v>4</v>
      </c>
      <c r="DB45">
        <v>0</v>
      </c>
      <c r="DC45">
        <v>1</v>
      </c>
      <c r="DD45">
        <v>0</v>
      </c>
      <c r="DE45">
        <v>0</v>
      </c>
      <c r="DF45">
        <v>2</v>
      </c>
      <c r="DG45">
        <v>0</v>
      </c>
      <c r="DH45">
        <v>0</v>
      </c>
      <c r="DI45">
        <v>0</v>
      </c>
      <c r="DJ45">
        <v>18</v>
      </c>
      <c r="DK45">
        <v>102</v>
      </c>
      <c r="DL45">
        <v>57</v>
      </c>
      <c r="DM45">
        <v>17</v>
      </c>
      <c r="DN45">
        <v>0</v>
      </c>
      <c r="DO45">
        <v>14</v>
      </c>
      <c r="DP45">
        <v>2</v>
      </c>
      <c r="DQ45">
        <v>4</v>
      </c>
      <c r="DR45">
        <v>0</v>
      </c>
      <c r="DS45">
        <v>3</v>
      </c>
      <c r="DT45">
        <v>0</v>
      </c>
      <c r="DU45">
        <v>5</v>
      </c>
      <c r="DV45">
        <v>102</v>
      </c>
      <c r="DW45">
        <v>20</v>
      </c>
      <c r="DX45">
        <v>15</v>
      </c>
      <c r="DY45">
        <v>0</v>
      </c>
      <c r="DZ45">
        <v>1</v>
      </c>
      <c r="EA45">
        <v>0</v>
      </c>
      <c r="EB45">
        <v>0</v>
      </c>
      <c r="EC45">
        <v>1</v>
      </c>
      <c r="ED45">
        <v>0</v>
      </c>
      <c r="EE45">
        <v>0</v>
      </c>
      <c r="EF45">
        <v>2</v>
      </c>
      <c r="EG45">
        <v>1</v>
      </c>
      <c r="EH45">
        <v>20</v>
      </c>
      <c r="EI45">
        <v>1</v>
      </c>
      <c r="EJ45">
        <v>0</v>
      </c>
      <c r="EK45">
        <v>1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1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1</v>
      </c>
      <c r="FP45">
        <v>1</v>
      </c>
    </row>
    <row r="46" spans="1:172" ht="14.25">
      <c r="A46">
        <v>41</v>
      </c>
      <c r="B46" t="str">
        <f>"100305"</f>
        <v>100305</v>
      </c>
      <c r="C46" t="str">
        <f>"Wodzierady"</f>
        <v>Wodzierady</v>
      </c>
      <c r="D46" t="str">
        <f t="shared" si="0"/>
        <v>łaski</v>
      </c>
      <c r="E46" t="str">
        <f t="shared" si="1"/>
        <v>łódzkie</v>
      </c>
      <c r="F46">
        <v>2</v>
      </c>
      <c r="G46" t="str">
        <f>"Publiczne Gimnazjum w Kwiatkowicach, Szkolna 17A, 98-105 Wodzierady"</f>
        <v>Publiczne Gimnazjum w Kwiatkowicach, Szkolna 17A, 98-105 Wodzierady</v>
      </c>
      <c r="H46">
        <v>1181</v>
      </c>
      <c r="I46">
        <v>1181</v>
      </c>
      <c r="J46">
        <v>0</v>
      </c>
      <c r="K46">
        <v>830</v>
      </c>
      <c r="L46">
        <v>632</v>
      </c>
      <c r="M46">
        <v>198</v>
      </c>
      <c r="N46">
        <v>198</v>
      </c>
      <c r="O46">
        <v>0</v>
      </c>
      <c r="P46">
        <v>0</v>
      </c>
      <c r="Q46">
        <v>2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198</v>
      </c>
      <c r="Z46">
        <v>0</v>
      </c>
      <c r="AA46">
        <v>0</v>
      </c>
      <c r="AB46">
        <v>198</v>
      </c>
      <c r="AC46">
        <v>7</v>
      </c>
      <c r="AD46">
        <v>191</v>
      </c>
      <c r="AE46">
        <v>7</v>
      </c>
      <c r="AF46">
        <v>4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2</v>
      </c>
      <c r="AO46">
        <v>0</v>
      </c>
      <c r="AP46">
        <v>7</v>
      </c>
      <c r="AQ46">
        <v>3</v>
      </c>
      <c r="AR46">
        <v>1</v>
      </c>
      <c r="AS46">
        <v>1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3</v>
      </c>
      <c r="BC46">
        <v>3</v>
      </c>
      <c r="BD46">
        <v>2</v>
      </c>
      <c r="BE46">
        <v>0</v>
      </c>
      <c r="BF46">
        <v>0</v>
      </c>
      <c r="BG46">
        <v>1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3</v>
      </c>
      <c r="BO46">
        <v>77</v>
      </c>
      <c r="BP46">
        <v>44</v>
      </c>
      <c r="BQ46">
        <v>8</v>
      </c>
      <c r="BR46">
        <v>7</v>
      </c>
      <c r="BS46">
        <v>14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4</v>
      </c>
      <c r="BZ46">
        <v>77</v>
      </c>
      <c r="CA46">
        <v>1</v>
      </c>
      <c r="CB46">
        <v>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</v>
      </c>
      <c r="CM46">
        <v>6</v>
      </c>
      <c r="CN46">
        <v>4</v>
      </c>
      <c r="CO46">
        <v>0</v>
      </c>
      <c r="CP46">
        <v>2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6</v>
      </c>
      <c r="CY46">
        <v>9</v>
      </c>
      <c r="CZ46">
        <v>4</v>
      </c>
      <c r="DA46">
        <v>0</v>
      </c>
      <c r="DB46">
        <v>0</v>
      </c>
      <c r="DC46">
        <v>0</v>
      </c>
      <c r="DD46">
        <v>0</v>
      </c>
      <c r="DE46">
        <v>2</v>
      </c>
      <c r="DF46">
        <v>0</v>
      </c>
      <c r="DG46">
        <v>1</v>
      </c>
      <c r="DH46">
        <v>1</v>
      </c>
      <c r="DI46">
        <v>1</v>
      </c>
      <c r="DJ46">
        <v>9</v>
      </c>
      <c r="DK46">
        <v>36</v>
      </c>
      <c r="DL46">
        <v>14</v>
      </c>
      <c r="DM46">
        <v>14</v>
      </c>
      <c r="DN46">
        <v>1</v>
      </c>
      <c r="DO46">
        <v>2</v>
      </c>
      <c r="DP46">
        <v>0</v>
      </c>
      <c r="DQ46">
        <v>1</v>
      </c>
      <c r="DR46">
        <v>0</v>
      </c>
      <c r="DS46">
        <v>1</v>
      </c>
      <c r="DT46">
        <v>0</v>
      </c>
      <c r="DU46">
        <v>3</v>
      </c>
      <c r="DV46">
        <v>36</v>
      </c>
      <c r="DW46">
        <v>46</v>
      </c>
      <c r="DX46">
        <v>24</v>
      </c>
      <c r="DY46">
        <v>6</v>
      </c>
      <c r="DZ46">
        <v>2</v>
      </c>
      <c r="EA46">
        <v>1</v>
      </c>
      <c r="EB46">
        <v>1</v>
      </c>
      <c r="EC46">
        <v>4</v>
      </c>
      <c r="ED46">
        <v>6</v>
      </c>
      <c r="EE46">
        <v>2</v>
      </c>
      <c r="EF46">
        <v>0</v>
      </c>
      <c r="EG46">
        <v>0</v>
      </c>
      <c r="EH46">
        <v>46</v>
      </c>
      <c r="EI46">
        <v>2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1</v>
      </c>
      <c r="ER46">
        <v>2</v>
      </c>
      <c r="ES46">
        <v>1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1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</row>
    <row r="47" spans="1:172" ht="14.25">
      <c r="A47">
        <v>42</v>
      </c>
      <c r="B47" t="str">
        <f aca="true" t="shared" si="8" ref="B47:B54">"100901"</f>
        <v>100901</v>
      </c>
      <c r="C47" t="str">
        <f aca="true" t="shared" si="9" ref="C47:C54">"Działoszyn"</f>
        <v>Działoszyn</v>
      </c>
      <c r="D47" t="str">
        <f aca="true" t="shared" si="10" ref="D47:D83">"pajęczański"</f>
        <v>pajęczański</v>
      </c>
      <c r="E47" t="str">
        <f t="shared" si="1"/>
        <v>łódzkie</v>
      </c>
      <c r="F47">
        <v>1</v>
      </c>
      <c r="G47" t="str">
        <f>"Szkoła Podstawowa Nr 1 im. Janusza Korczaka, ul. Zamkowa 1, 98-355 Działoszyn"</f>
        <v>Szkoła Podstawowa Nr 1 im. Janusza Korczaka, ul. Zamkowa 1, 98-355 Działoszyn</v>
      </c>
      <c r="H47">
        <v>2080</v>
      </c>
      <c r="I47">
        <v>2080</v>
      </c>
      <c r="J47">
        <v>0</v>
      </c>
      <c r="K47">
        <v>1471</v>
      </c>
      <c r="L47">
        <v>1164</v>
      </c>
      <c r="M47">
        <v>307</v>
      </c>
      <c r="N47">
        <v>307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307</v>
      </c>
      <c r="Z47">
        <v>0</v>
      </c>
      <c r="AA47">
        <v>0</v>
      </c>
      <c r="AB47">
        <v>307</v>
      </c>
      <c r="AC47">
        <v>15</v>
      </c>
      <c r="AD47">
        <v>292</v>
      </c>
      <c r="AE47">
        <v>3</v>
      </c>
      <c r="AF47">
        <v>2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3</v>
      </c>
      <c r="AQ47">
        <v>2</v>
      </c>
      <c r="AR47">
        <v>2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2</v>
      </c>
      <c r="BC47">
        <v>23</v>
      </c>
      <c r="BD47">
        <v>13</v>
      </c>
      <c r="BE47">
        <v>5</v>
      </c>
      <c r="BF47">
        <v>0</v>
      </c>
      <c r="BG47">
        <v>2</v>
      </c>
      <c r="BH47">
        <v>0</v>
      </c>
      <c r="BI47">
        <v>1</v>
      </c>
      <c r="BJ47">
        <v>0</v>
      </c>
      <c r="BK47">
        <v>0</v>
      </c>
      <c r="BL47">
        <v>0</v>
      </c>
      <c r="BM47">
        <v>2</v>
      </c>
      <c r="BN47">
        <v>23</v>
      </c>
      <c r="BO47">
        <v>160</v>
      </c>
      <c r="BP47">
        <v>130</v>
      </c>
      <c r="BQ47">
        <v>1</v>
      </c>
      <c r="BR47">
        <v>3</v>
      </c>
      <c r="BS47">
        <v>8</v>
      </c>
      <c r="BT47">
        <v>0</v>
      </c>
      <c r="BU47">
        <v>0</v>
      </c>
      <c r="BV47">
        <v>13</v>
      </c>
      <c r="BW47">
        <v>0</v>
      </c>
      <c r="BX47">
        <v>1</v>
      </c>
      <c r="BY47">
        <v>4</v>
      </c>
      <c r="BZ47">
        <v>160</v>
      </c>
      <c r="CA47">
        <v>5</v>
      </c>
      <c r="CB47">
        <v>4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5</v>
      </c>
      <c r="CM47">
        <v>2</v>
      </c>
      <c r="CN47">
        <v>2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16</v>
      </c>
      <c r="CZ47">
        <v>9</v>
      </c>
      <c r="DA47">
        <v>1</v>
      </c>
      <c r="DB47">
        <v>2</v>
      </c>
      <c r="DC47">
        <v>0</v>
      </c>
      <c r="DD47">
        <v>1</v>
      </c>
      <c r="DE47">
        <v>0</v>
      </c>
      <c r="DF47">
        <v>0</v>
      </c>
      <c r="DG47">
        <v>1</v>
      </c>
      <c r="DH47">
        <v>0</v>
      </c>
      <c r="DI47">
        <v>2</v>
      </c>
      <c r="DJ47">
        <v>16</v>
      </c>
      <c r="DK47">
        <v>57</v>
      </c>
      <c r="DL47">
        <v>37</v>
      </c>
      <c r="DM47">
        <v>15</v>
      </c>
      <c r="DN47">
        <v>0</v>
      </c>
      <c r="DO47">
        <v>1</v>
      </c>
      <c r="DP47">
        <v>2</v>
      </c>
      <c r="DQ47">
        <v>0</v>
      </c>
      <c r="DR47">
        <v>1</v>
      </c>
      <c r="DS47">
        <v>0</v>
      </c>
      <c r="DT47">
        <v>0</v>
      </c>
      <c r="DU47">
        <v>1</v>
      </c>
      <c r="DV47">
        <v>57</v>
      </c>
      <c r="DW47">
        <v>23</v>
      </c>
      <c r="DX47">
        <v>17</v>
      </c>
      <c r="DY47">
        <v>0</v>
      </c>
      <c r="DZ47">
        <v>0</v>
      </c>
      <c r="EA47">
        <v>0</v>
      </c>
      <c r="EB47">
        <v>0</v>
      </c>
      <c r="EC47">
        <v>2</v>
      </c>
      <c r="ED47">
        <v>0</v>
      </c>
      <c r="EE47">
        <v>2</v>
      </c>
      <c r="EF47">
        <v>0</v>
      </c>
      <c r="EG47">
        <v>2</v>
      </c>
      <c r="EH47">
        <v>23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1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1</v>
      </c>
      <c r="FP47">
        <v>1</v>
      </c>
    </row>
    <row r="48" spans="1:172" ht="14.25">
      <c r="A48">
        <v>43</v>
      </c>
      <c r="B48" t="str">
        <f t="shared" si="8"/>
        <v>100901</v>
      </c>
      <c r="C48" t="str">
        <f t="shared" si="9"/>
        <v>Działoszyn</v>
      </c>
      <c r="D48" t="str">
        <f t="shared" si="10"/>
        <v>pajęczański</v>
      </c>
      <c r="E48" t="str">
        <f t="shared" si="1"/>
        <v>łódzkie</v>
      </c>
      <c r="F48">
        <v>2</v>
      </c>
      <c r="G48" t="str">
        <f>"Szkoła Podstawowa w Szczytach, ul. Szkolna 2, Szczyty, 98-355 Działoszyn"</f>
        <v>Szkoła Podstawowa w Szczytach, ul. Szkolna 2, Szczyty, 98-355 Działoszyn</v>
      </c>
      <c r="H48">
        <v>671</v>
      </c>
      <c r="I48">
        <v>671</v>
      </c>
      <c r="J48">
        <v>0</v>
      </c>
      <c r="K48">
        <v>470</v>
      </c>
      <c r="L48">
        <v>330</v>
      </c>
      <c r="M48">
        <v>140</v>
      </c>
      <c r="N48">
        <v>140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140</v>
      </c>
      <c r="Z48">
        <v>0</v>
      </c>
      <c r="AA48">
        <v>0</v>
      </c>
      <c r="AB48">
        <v>140</v>
      </c>
      <c r="AC48">
        <v>3</v>
      </c>
      <c r="AD48">
        <v>137</v>
      </c>
      <c r="AE48">
        <v>3</v>
      </c>
      <c r="AF48">
        <v>0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1</v>
      </c>
      <c r="AP48">
        <v>3</v>
      </c>
      <c r="AQ48">
        <v>3</v>
      </c>
      <c r="AR48">
        <v>2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3</v>
      </c>
      <c r="BC48">
        <v>11</v>
      </c>
      <c r="BD48">
        <v>7</v>
      </c>
      <c r="BE48">
        <v>0</v>
      </c>
      <c r="BF48">
        <v>1</v>
      </c>
      <c r="BG48">
        <v>0</v>
      </c>
      <c r="BH48">
        <v>1</v>
      </c>
      <c r="BI48">
        <v>0</v>
      </c>
      <c r="BJ48">
        <v>1</v>
      </c>
      <c r="BK48">
        <v>0</v>
      </c>
      <c r="BL48">
        <v>0</v>
      </c>
      <c r="BM48">
        <v>1</v>
      </c>
      <c r="BN48">
        <v>11</v>
      </c>
      <c r="BO48">
        <v>76</v>
      </c>
      <c r="BP48">
        <v>65</v>
      </c>
      <c r="BQ48">
        <v>1</v>
      </c>
      <c r="BR48">
        <v>0</v>
      </c>
      <c r="BS48">
        <v>1</v>
      </c>
      <c r="BT48">
        <v>0</v>
      </c>
      <c r="BU48">
        <v>0</v>
      </c>
      <c r="BV48">
        <v>5</v>
      </c>
      <c r="BW48">
        <v>0</v>
      </c>
      <c r="BX48">
        <v>0</v>
      </c>
      <c r="BY48">
        <v>4</v>
      </c>
      <c r="BZ48">
        <v>76</v>
      </c>
      <c r="CA48">
        <v>5</v>
      </c>
      <c r="CB48">
        <v>0</v>
      </c>
      <c r="CC48">
        <v>4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5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7</v>
      </c>
      <c r="CZ48">
        <v>6</v>
      </c>
      <c r="DA48">
        <v>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7</v>
      </c>
      <c r="DK48">
        <v>5</v>
      </c>
      <c r="DL48">
        <v>4</v>
      </c>
      <c r="DM48">
        <v>1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5</v>
      </c>
      <c r="DW48">
        <v>22</v>
      </c>
      <c r="DX48">
        <v>21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22</v>
      </c>
      <c r="EI48">
        <v>1</v>
      </c>
      <c r="EJ48">
        <v>0</v>
      </c>
      <c r="EK48">
        <v>1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1</v>
      </c>
      <c r="ES48">
        <v>2</v>
      </c>
      <c r="ET48">
        <v>1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1</v>
      </c>
      <c r="FC48">
        <v>0</v>
      </c>
      <c r="FD48">
        <v>2</v>
      </c>
      <c r="FE48">
        <v>2</v>
      </c>
      <c r="FF48">
        <v>0</v>
      </c>
      <c r="FG48">
        <v>0</v>
      </c>
      <c r="FH48">
        <v>0</v>
      </c>
      <c r="FI48">
        <v>1</v>
      </c>
      <c r="FJ48">
        <v>1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2</v>
      </c>
    </row>
    <row r="49" spans="1:172" ht="14.25">
      <c r="A49">
        <v>44</v>
      </c>
      <c r="B49" t="str">
        <f t="shared" si="8"/>
        <v>100901</v>
      </c>
      <c r="C49" t="str">
        <f t="shared" si="9"/>
        <v>Działoszyn</v>
      </c>
      <c r="D49" t="str">
        <f t="shared" si="10"/>
        <v>pajęczański</v>
      </c>
      <c r="E49" t="str">
        <f t="shared" si="1"/>
        <v>łódzkie</v>
      </c>
      <c r="F49">
        <v>3</v>
      </c>
      <c r="G49" t="str">
        <f>"Szkoła Podstawowa im. M. Konopnickiej w Raciszynie, ul. Działoszyńska 65, Raciszyn, 98-355 Działoszyn"</f>
        <v>Szkoła Podstawowa im. M. Konopnickiej w Raciszynie, ul. Działoszyńska 65, Raciszyn, 98-355 Działoszyn</v>
      </c>
      <c r="H49">
        <v>1068</v>
      </c>
      <c r="I49">
        <v>1068</v>
      </c>
      <c r="J49">
        <v>0</v>
      </c>
      <c r="K49">
        <v>750</v>
      </c>
      <c r="L49">
        <v>641</v>
      </c>
      <c r="M49">
        <v>109</v>
      </c>
      <c r="N49">
        <v>109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109</v>
      </c>
      <c r="Z49">
        <v>0</v>
      </c>
      <c r="AA49">
        <v>0</v>
      </c>
      <c r="AB49">
        <v>109</v>
      </c>
      <c r="AC49">
        <v>8</v>
      </c>
      <c r="AD49">
        <v>101</v>
      </c>
      <c r="AE49">
        <v>6</v>
      </c>
      <c r="AF49">
        <v>3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1</v>
      </c>
      <c r="AN49">
        <v>1</v>
      </c>
      <c r="AO49">
        <v>0</v>
      </c>
      <c r="AP49">
        <v>6</v>
      </c>
      <c r="AQ49">
        <v>1</v>
      </c>
      <c r="AR49">
        <v>1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2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1</v>
      </c>
      <c r="BN49">
        <v>2</v>
      </c>
      <c r="BO49">
        <v>60</v>
      </c>
      <c r="BP49">
        <v>53</v>
      </c>
      <c r="BQ49">
        <v>1</v>
      </c>
      <c r="BR49">
        <v>0</v>
      </c>
      <c r="BS49">
        <v>0</v>
      </c>
      <c r="BT49">
        <v>0</v>
      </c>
      <c r="BU49">
        <v>0</v>
      </c>
      <c r="BV49">
        <v>6</v>
      </c>
      <c r="BW49">
        <v>0</v>
      </c>
      <c r="BX49">
        <v>0</v>
      </c>
      <c r="BY49">
        <v>0</v>
      </c>
      <c r="BZ49">
        <v>60</v>
      </c>
      <c r="CA49">
        <v>2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1</v>
      </c>
      <c r="CH49">
        <v>0</v>
      </c>
      <c r="CI49">
        <v>1</v>
      </c>
      <c r="CJ49">
        <v>0</v>
      </c>
      <c r="CK49">
        <v>0</v>
      </c>
      <c r="CL49">
        <v>2</v>
      </c>
      <c r="CM49">
        <v>1</v>
      </c>
      <c r="CN49">
        <v>0</v>
      </c>
      <c r="CO49">
        <v>0</v>
      </c>
      <c r="CP49">
        <v>0</v>
      </c>
      <c r="CQ49">
        <v>1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6</v>
      </c>
      <c r="CZ49">
        <v>5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1</v>
      </c>
      <c r="DH49">
        <v>0</v>
      </c>
      <c r="DI49">
        <v>0</v>
      </c>
      <c r="DJ49">
        <v>6</v>
      </c>
      <c r="DK49">
        <v>6</v>
      </c>
      <c r="DL49">
        <v>5</v>
      </c>
      <c r="DM49">
        <v>1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6</v>
      </c>
      <c r="DW49">
        <v>15</v>
      </c>
      <c r="DX49">
        <v>11</v>
      </c>
      <c r="DY49">
        <v>1</v>
      </c>
      <c r="DZ49">
        <v>1</v>
      </c>
      <c r="EA49">
        <v>0</v>
      </c>
      <c r="EB49">
        <v>0</v>
      </c>
      <c r="EC49">
        <v>1</v>
      </c>
      <c r="ED49">
        <v>1</v>
      </c>
      <c r="EE49">
        <v>0</v>
      </c>
      <c r="EF49">
        <v>0</v>
      </c>
      <c r="EG49">
        <v>0</v>
      </c>
      <c r="EH49">
        <v>15</v>
      </c>
      <c r="EI49">
        <v>1</v>
      </c>
      <c r="EJ49">
        <v>1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1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1</v>
      </c>
    </row>
    <row r="50" spans="1:172" ht="14.25">
      <c r="A50">
        <v>45</v>
      </c>
      <c r="B50" t="str">
        <f t="shared" si="8"/>
        <v>100901</v>
      </c>
      <c r="C50" t="str">
        <f t="shared" si="9"/>
        <v>Działoszyn</v>
      </c>
      <c r="D50" t="str">
        <f t="shared" si="10"/>
        <v>pajęczański</v>
      </c>
      <c r="E50" t="str">
        <f t="shared" si="1"/>
        <v>łódzkie</v>
      </c>
      <c r="F50">
        <v>4</v>
      </c>
      <c r="G50" t="str">
        <f>"Gimnazjum w Trębaczewie, ul. Szkolna 5, Trębaczew, 98-355 Działoszyn"</f>
        <v>Gimnazjum w Trębaczewie, ul. Szkolna 5, Trębaczew, 98-355 Działoszyn</v>
      </c>
      <c r="H50">
        <v>2263</v>
      </c>
      <c r="I50">
        <v>2263</v>
      </c>
      <c r="J50">
        <v>0</v>
      </c>
      <c r="K50">
        <v>1590</v>
      </c>
      <c r="L50">
        <v>1248</v>
      </c>
      <c r="M50">
        <v>342</v>
      </c>
      <c r="N50">
        <v>342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342</v>
      </c>
      <c r="Z50">
        <v>0</v>
      </c>
      <c r="AA50">
        <v>0</v>
      </c>
      <c r="AB50">
        <v>342</v>
      </c>
      <c r="AC50">
        <v>11</v>
      </c>
      <c r="AD50">
        <v>331</v>
      </c>
      <c r="AE50">
        <v>14</v>
      </c>
      <c r="AF50">
        <v>7</v>
      </c>
      <c r="AG50">
        <v>2</v>
      </c>
      <c r="AH50">
        <v>0</v>
      </c>
      <c r="AI50">
        <v>0</v>
      </c>
      <c r="AJ50">
        <v>2</v>
      </c>
      <c r="AK50">
        <v>0</v>
      </c>
      <c r="AL50">
        <v>1</v>
      </c>
      <c r="AM50">
        <v>0</v>
      </c>
      <c r="AN50">
        <v>0</v>
      </c>
      <c r="AO50">
        <v>2</v>
      </c>
      <c r="AP50">
        <v>14</v>
      </c>
      <c r="AQ50">
        <v>3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2</v>
      </c>
      <c r="AY50">
        <v>0</v>
      </c>
      <c r="AZ50">
        <v>0</v>
      </c>
      <c r="BA50">
        <v>0</v>
      </c>
      <c r="BB50">
        <v>3</v>
      </c>
      <c r="BC50">
        <v>33</v>
      </c>
      <c r="BD50">
        <v>14</v>
      </c>
      <c r="BE50">
        <v>7</v>
      </c>
      <c r="BF50">
        <v>7</v>
      </c>
      <c r="BG50">
        <v>2</v>
      </c>
      <c r="BH50">
        <v>2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33</v>
      </c>
      <c r="BO50">
        <v>130</v>
      </c>
      <c r="BP50">
        <v>93</v>
      </c>
      <c r="BQ50">
        <v>4</v>
      </c>
      <c r="BR50">
        <v>3</v>
      </c>
      <c r="BS50">
        <v>0</v>
      </c>
      <c r="BT50">
        <v>0</v>
      </c>
      <c r="BU50">
        <v>0</v>
      </c>
      <c r="BV50">
        <v>16</v>
      </c>
      <c r="BW50">
        <v>1</v>
      </c>
      <c r="BX50">
        <v>1</v>
      </c>
      <c r="BY50">
        <v>12</v>
      </c>
      <c r="BZ50">
        <v>130</v>
      </c>
      <c r="CA50">
        <v>7</v>
      </c>
      <c r="CB50">
        <v>5</v>
      </c>
      <c r="CC50">
        <v>0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1</v>
      </c>
      <c r="CK50">
        <v>0</v>
      </c>
      <c r="CL50">
        <v>7</v>
      </c>
      <c r="CM50">
        <v>7</v>
      </c>
      <c r="CN50">
        <v>3</v>
      </c>
      <c r="CO50">
        <v>2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1</v>
      </c>
      <c r="CV50">
        <v>0</v>
      </c>
      <c r="CW50">
        <v>0</v>
      </c>
      <c r="CX50">
        <v>7</v>
      </c>
      <c r="CY50">
        <v>28</v>
      </c>
      <c r="CZ50">
        <v>17</v>
      </c>
      <c r="DA50">
        <v>0</v>
      </c>
      <c r="DB50">
        <v>1</v>
      </c>
      <c r="DC50">
        <v>2</v>
      </c>
      <c r="DD50">
        <v>0</v>
      </c>
      <c r="DE50">
        <v>1</v>
      </c>
      <c r="DF50">
        <v>0</v>
      </c>
      <c r="DG50">
        <v>4</v>
      </c>
      <c r="DH50">
        <v>2</v>
      </c>
      <c r="DI50">
        <v>1</v>
      </c>
      <c r="DJ50">
        <v>28</v>
      </c>
      <c r="DK50">
        <v>71</v>
      </c>
      <c r="DL50">
        <v>53</v>
      </c>
      <c r="DM50">
        <v>3</v>
      </c>
      <c r="DN50">
        <v>0</v>
      </c>
      <c r="DO50">
        <v>8</v>
      </c>
      <c r="DP50">
        <v>0</v>
      </c>
      <c r="DQ50">
        <v>1</v>
      </c>
      <c r="DR50">
        <v>4</v>
      </c>
      <c r="DS50">
        <v>1</v>
      </c>
      <c r="DT50">
        <v>1</v>
      </c>
      <c r="DU50">
        <v>0</v>
      </c>
      <c r="DV50">
        <v>71</v>
      </c>
      <c r="DW50">
        <v>33</v>
      </c>
      <c r="DX50">
        <v>21</v>
      </c>
      <c r="DY50">
        <v>1</v>
      </c>
      <c r="DZ50">
        <v>0</v>
      </c>
      <c r="EA50">
        <v>0</v>
      </c>
      <c r="EB50">
        <v>3</v>
      </c>
      <c r="EC50">
        <v>1</v>
      </c>
      <c r="ED50">
        <v>0</v>
      </c>
      <c r="EE50">
        <v>1</v>
      </c>
      <c r="EF50">
        <v>5</v>
      </c>
      <c r="EG50">
        <v>1</v>
      </c>
      <c r="EH50">
        <v>33</v>
      </c>
      <c r="EI50">
        <v>3</v>
      </c>
      <c r="EJ50">
        <v>0</v>
      </c>
      <c r="EK50">
        <v>2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3</v>
      </c>
      <c r="ES50">
        <v>1</v>
      </c>
      <c r="ET50">
        <v>1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</v>
      </c>
      <c r="FE50">
        <v>1</v>
      </c>
      <c r="FF50">
        <v>0</v>
      </c>
      <c r="FG50">
        <v>1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1</v>
      </c>
    </row>
    <row r="51" spans="1:172" ht="14.25">
      <c r="A51">
        <v>46</v>
      </c>
      <c r="B51" t="str">
        <f t="shared" si="8"/>
        <v>100901</v>
      </c>
      <c r="C51" t="str">
        <f t="shared" si="9"/>
        <v>Działoszyn</v>
      </c>
      <c r="D51" t="str">
        <f t="shared" si="10"/>
        <v>pajęczański</v>
      </c>
      <c r="E51" t="str">
        <f t="shared" si="1"/>
        <v>łódzkie</v>
      </c>
      <c r="F51">
        <v>5</v>
      </c>
      <c r="G51" t="str">
        <f>"Szkoła Filialna w Kolonii Lisowice, Kolonia Lisowice 85, 98-355 Działoszyn"</f>
        <v>Szkoła Filialna w Kolonii Lisowice, Kolonia Lisowice 85, 98-355 Działoszyn</v>
      </c>
      <c r="H51">
        <v>789</v>
      </c>
      <c r="I51">
        <v>789</v>
      </c>
      <c r="J51">
        <v>0</v>
      </c>
      <c r="K51">
        <v>560</v>
      </c>
      <c r="L51">
        <v>449</v>
      </c>
      <c r="M51">
        <v>111</v>
      </c>
      <c r="N51">
        <v>111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111</v>
      </c>
      <c r="Z51">
        <v>0</v>
      </c>
      <c r="AA51">
        <v>0</v>
      </c>
      <c r="AB51">
        <v>111</v>
      </c>
      <c r="AC51">
        <v>5</v>
      </c>
      <c r="AD51">
        <v>106</v>
      </c>
      <c r="AE51">
        <v>2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2</v>
      </c>
      <c r="AQ51">
        <v>2</v>
      </c>
      <c r="AR51">
        <v>0</v>
      </c>
      <c r="AS51">
        <v>1</v>
      </c>
      <c r="AT51">
        <v>0</v>
      </c>
      <c r="AU51">
        <v>0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2</v>
      </c>
      <c r="BC51">
        <v>6</v>
      </c>
      <c r="BD51">
        <v>4</v>
      </c>
      <c r="BE51">
        <v>0</v>
      </c>
      <c r="BF51">
        <v>0</v>
      </c>
      <c r="BG51">
        <v>0</v>
      </c>
      <c r="BH51">
        <v>0</v>
      </c>
      <c r="BI51">
        <v>1</v>
      </c>
      <c r="BJ51">
        <v>0</v>
      </c>
      <c r="BK51">
        <v>0</v>
      </c>
      <c r="BL51">
        <v>0</v>
      </c>
      <c r="BM51">
        <v>1</v>
      </c>
      <c r="BN51">
        <v>6</v>
      </c>
      <c r="BO51">
        <v>78</v>
      </c>
      <c r="BP51">
        <v>57</v>
      </c>
      <c r="BQ51">
        <v>0</v>
      </c>
      <c r="BR51">
        <v>2</v>
      </c>
      <c r="BS51">
        <v>2</v>
      </c>
      <c r="BT51">
        <v>0</v>
      </c>
      <c r="BU51">
        <v>0</v>
      </c>
      <c r="BV51">
        <v>17</v>
      </c>
      <c r="BW51">
        <v>0</v>
      </c>
      <c r="BX51">
        <v>0</v>
      </c>
      <c r="BY51">
        <v>0</v>
      </c>
      <c r="BZ51">
        <v>78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1</v>
      </c>
      <c r="CN51">
        <v>1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1</v>
      </c>
      <c r="CY51">
        <v>6</v>
      </c>
      <c r="CZ51">
        <v>4</v>
      </c>
      <c r="DA51">
        <v>0</v>
      </c>
      <c r="DB51">
        <v>1</v>
      </c>
      <c r="DC51">
        <v>0</v>
      </c>
      <c r="DD51">
        <v>0</v>
      </c>
      <c r="DE51">
        <v>1</v>
      </c>
      <c r="DF51">
        <v>0</v>
      </c>
      <c r="DG51">
        <v>0</v>
      </c>
      <c r="DH51">
        <v>0</v>
      </c>
      <c r="DI51">
        <v>0</v>
      </c>
      <c r="DJ51">
        <v>6</v>
      </c>
      <c r="DK51">
        <v>3</v>
      </c>
      <c r="DL51">
        <v>2</v>
      </c>
      <c r="DM51">
        <v>0</v>
      </c>
      <c r="DN51">
        <v>0</v>
      </c>
      <c r="DO51">
        <v>0</v>
      </c>
      <c r="DP51">
        <v>0</v>
      </c>
      <c r="DQ51">
        <v>1</v>
      </c>
      <c r="DR51">
        <v>0</v>
      </c>
      <c r="DS51">
        <v>0</v>
      </c>
      <c r="DT51">
        <v>0</v>
      </c>
      <c r="DU51">
        <v>0</v>
      </c>
      <c r="DV51">
        <v>3</v>
      </c>
      <c r="DW51">
        <v>7</v>
      </c>
      <c r="DX51">
        <v>5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2</v>
      </c>
      <c r="EE51">
        <v>0</v>
      </c>
      <c r="EF51">
        <v>0</v>
      </c>
      <c r="EG51">
        <v>0</v>
      </c>
      <c r="EH51">
        <v>7</v>
      </c>
      <c r="EI51">
        <v>1</v>
      </c>
      <c r="EJ51">
        <v>0</v>
      </c>
      <c r="EK51">
        <v>1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</row>
    <row r="52" spans="1:172" ht="14.25">
      <c r="A52">
        <v>47</v>
      </c>
      <c r="B52" t="str">
        <f t="shared" si="8"/>
        <v>100901</v>
      </c>
      <c r="C52" t="str">
        <f t="shared" si="9"/>
        <v>Działoszyn</v>
      </c>
      <c r="D52" t="str">
        <f t="shared" si="10"/>
        <v>pajęczański</v>
      </c>
      <c r="E52" t="str">
        <f t="shared" si="1"/>
        <v>łódzkie</v>
      </c>
      <c r="F52">
        <v>6</v>
      </c>
      <c r="G52" t="str">
        <f>"Szkoła Podstawowa nr 2 im. Mikołaja Kopernika w Działoszynie, ul. Szkolna 4, 98-355 Działoszyn"</f>
        <v>Szkoła Podstawowa nr 2 im. Mikołaja Kopernika w Działoszynie, ul. Szkolna 4, 98-355 Działoszyn</v>
      </c>
      <c r="H52">
        <v>1538</v>
      </c>
      <c r="I52">
        <v>1538</v>
      </c>
      <c r="J52">
        <v>0</v>
      </c>
      <c r="K52">
        <v>1078</v>
      </c>
      <c r="L52">
        <v>729</v>
      </c>
      <c r="M52">
        <v>349</v>
      </c>
      <c r="N52">
        <v>349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349</v>
      </c>
      <c r="Z52">
        <v>0</v>
      </c>
      <c r="AA52">
        <v>0</v>
      </c>
      <c r="AB52">
        <v>349</v>
      </c>
      <c r="AC52">
        <v>8</v>
      </c>
      <c r="AD52">
        <v>341</v>
      </c>
      <c r="AE52">
        <v>3</v>
      </c>
      <c r="AF52">
        <v>3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3</v>
      </c>
      <c r="AQ52">
        <v>5</v>
      </c>
      <c r="AR52">
        <v>2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2</v>
      </c>
      <c r="BB52">
        <v>5</v>
      </c>
      <c r="BC52">
        <v>39</v>
      </c>
      <c r="BD52">
        <v>23</v>
      </c>
      <c r="BE52">
        <v>3</v>
      </c>
      <c r="BF52">
        <v>5</v>
      </c>
      <c r="BG52">
        <v>0</v>
      </c>
      <c r="BH52">
        <v>2</v>
      </c>
      <c r="BI52">
        <v>1</v>
      </c>
      <c r="BJ52">
        <v>1</v>
      </c>
      <c r="BK52">
        <v>0</v>
      </c>
      <c r="BL52">
        <v>1</v>
      </c>
      <c r="BM52">
        <v>3</v>
      </c>
      <c r="BN52">
        <v>39</v>
      </c>
      <c r="BO52">
        <v>117</v>
      </c>
      <c r="BP52">
        <v>94</v>
      </c>
      <c r="BQ52">
        <v>3</v>
      </c>
      <c r="BR52">
        <v>3</v>
      </c>
      <c r="BS52">
        <v>2</v>
      </c>
      <c r="BT52">
        <v>0</v>
      </c>
      <c r="BU52">
        <v>0</v>
      </c>
      <c r="BV52">
        <v>6</v>
      </c>
      <c r="BW52">
        <v>0</v>
      </c>
      <c r="BX52">
        <v>0</v>
      </c>
      <c r="BY52">
        <v>9</v>
      </c>
      <c r="BZ52">
        <v>117</v>
      </c>
      <c r="CA52">
        <v>22</v>
      </c>
      <c r="CB52">
        <v>10</v>
      </c>
      <c r="CC52">
        <v>3</v>
      </c>
      <c r="CD52">
        <v>5</v>
      </c>
      <c r="CE52">
        <v>2</v>
      </c>
      <c r="CF52">
        <v>0</v>
      </c>
      <c r="CG52">
        <v>2</v>
      </c>
      <c r="CH52">
        <v>0</v>
      </c>
      <c r="CI52">
        <v>0</v>
      </c>
      <c r="CJ52">
        <v>0</v>
      </c>
      <c r="CK52">
        <v>0</v>
      </c>
      <c r="CL52">
        <v>22</v>
      </c>
      <c r="CM52">
        <v>7</v>
      </c>
      <c r="CN52">
        <v>3</v>
      </c>
      <c r="CO52">
        <v>1</v>
      </c>
      <c r="CP52">
        <v>2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7</v>
      </c>
      <c r="CY52">
        <v>29</v>
      </c>
      <c r="CZ52">
        <v>22</v>
      </c>
      <c r="DA52">
        <v>3</v>
      </c>
      <c r="DB52">
        <v>0</v>
      </c>
      <c r="DC52">
        <v>0</v>
      </c>
      <c r="DD52">
        <v>3</v>
      </c>
      <c r="DE52">
        <v>1</v>
      </c>
      <c r="DF52">
        <v>0</v>
      </c>
      <c r="DG52">
        <v>0</v>
      </c>
      <c r="DH52">
        <v>0</v>
      </c>
      <c r="DI52">
        <v>0</v>
      </c>
      <c r="DJ52">
        <v>29</v>
      </c>
      <c r="DK52">
        <v>98</v>
      </c>
      <c r="DL52">
        <v>76</v>
      </c>
      <c r="DM52">
        <v>11</v>
      </c>
      <c r="DN52">
        <v>0</v>
      </c>
      <c r="DO52">
        <v>4</v>
      </c>
      <c r="DP52">
        <v>1</v>
      </c>
      <c r="DQ52">
        <v>0</v>
      </c>
      <c r="DR52">
        <v>0</v>
      </c>
      <c r="DS52">
        <v>2</v>
      </c>
      <c r="DT52">
        <v>1</v>
      </c>
      <c r="DU52">
        <v>3</v>
      </c>
      <c r="DV52">
        <v>98</v>
      </c>
      <c r="DW52">
        <v>19</v>
      </c>
      <c r="DX52">
        <v>16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2</v>
      </c>
      <c r="EF52">
        <v>0</v>
      </c>
      <c r="EG52">
        <v>1</v>
      </c>
      <c r="EH52">
        <v>19</v>
      </c>
      <c r="EI52">
        <v>2</v>
      </c>
      <c r="EJ52">
        <v>0</v>
      </c>
      <c r="EK52">
        <v>2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2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</row>
    <row r="53" spans="1:172" ht="14.25">
      <c r="A53">
        <v>48</v>
      </c>
      <c r="B53" t="str">
        <f t="shared" si="8"/>
        <v>100901</v>
      </c>
      <c r="C53" t="str">
        <f t="shared" si="9"/>
        <v>Działoszyn</v>
      </c>
      <c r="D53" t="str">
        <f t="shared" si="10"/>
        <v>pajęczański</v>
      </c>
      <c r="E53" t="str">
        <f t="shared" si="1"/>
        <v>łódzkie</v>
      </c>
      <c r="F53">
        <v>7</v>
      </c>
      <c r="G53" t="str">
        <f>"Szkoła Podstawowa nr 2 im. Mikołaja Kopernika w Działoszynie, ul. Szkolna 4, 98-355 Działoszyn"</f>
        <v>Szkoła Podstawowa nr 2 im. Mikołaja Kopernika w Działoszynie, ul. Szkolna 4, 98-355 Działoszyn</v>
      </c>
      <c r="H53">
        <v>1945</v>
      </c>
      <c r="I53">
        <v>1945</v>
      </c>
      <c r="J53">
        <v>0</v>
      </c>
      <c r="K53">
        <v>1369</v>
      </c>
      <c r="L53">
        <v>1049</v>
      </c>
      <c r="M53">
        <v>320</v>
      </c>
      <c r="N53">
        <v>320</v>
      </c>
      <c r="O53">
        <v>0</v>
      </c>
      <c r="P53">
        <v>0</v>
      </c>
      <c r="Q53">
        <v>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320</v>
      </c>
      <c r="Z53">
        <v>0</v>
      </c>
      <c r="AA53">
        <v>0</v>
      </c>
      <c r="AB53">
        <v>320</v>
      </c>
      <c r="AC53">
        <v>28</v>
      </c>
      <c r="AD53">
        <v>292</v>
      </c>
      <c r="AE53">
        <v>10</v>
      </c>
      <c r="AF53">
        <v>6</v>
      </c>
      <c r="AG53">
        <v>2</v>
      </c>
      <c r="AH53">
        <v>1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38</v>
      </c>
      <c r="BD53">
        <v>22</v>
      </c>
      <c r="BE53">
        <v>5</v>
      </c>
      <c r="BF53">
        <v>2</v>
      </c>
      <c r="BG53">
        <v>2</v>
      </c>
      <c r="BH53">
        <v>0</v>
      </c>
      <c r="BI53">
        <v>1</v>
      </c>
      <c r="BJ53">
        <v>0</v>
      </c>
      <c r="BK53">
        <v>0</v>
      </c>
      <c r="BL53">
        <v>2</v>
      </c>
      <c r="BM53">
        <v>4</v>
      </c>
      <c r="BN53">
        <v>38</v>
      </c>
      <c r="BO53">
        <v>113</v>
      </c>
      <c r="BP53">
        <v>91</v>
      </c>
      <c r="BQ53">
        <v>5</v>
      </c>
      <c r="BR53">
        <v>3</v>
      </c>
      <c r="BS53">
        <v>3</v>
      </c>
      <c r="BT53">
        <v>0</v>
      </c>
      <c r="BU53">
        <v>0</v>
      </c>
      <c r="BV53">
        <v>6</v>
      </c>
      <c r="BW53">
        <v>0</v>
      </c>
      <c r="BX53">
        <v>0</v>
      </c>
      <c r="BY53">
        <v>5</v>
      </c>
      <c r="BZ53">
        <v>113</v>
      </c>
      <c r="CA53">
        <v>16</v>
      </c>
      <c r="CB53">
        <v>5</v>
      </c>
      <c r="CC53">
        <v>4</v>
      </c>
      <c r="CD53">
        <v>1</v>
      </c>
      <c r="CE53">
        <v>1</v>
      </c>
      <c r="CF53">
        <v>0</v>
      </c>
      <c r="CG53">
        <v>2</v>
      </c>
      <c r="CH53">
        <v>0</v>
      </c>
      <c r="CI53">
        <v>0</v>
      </c>
      <c r="CJ53">
        <v>1</v>
      </c>
      <c r="CK53">
        <v>2</v>
      </c>
      <c r="CL53">
        <v>16</v>
      </c>
      <c r="CM53">
        <v>8</v>
      </c>
      <c r="CN53">
        <v>2</v>
      </c>
      <c r="CO53">
        <v>0</v>
      </c>
      <c r="CP53">
        <v>0</v>
      </c>
      <c r="CQ53">
        <v>0</v>
      </c>
      <c r="CR53">
        <v>0</v>
      </c>
      <c r="CS53">
        <v>2</v>
      </c>
      <c r="CT53">
        <v>0</v>
      </c>
      <c r="CU53">
        <v>2</v>
      </c>
      <c r="CV53">
        <v>0</v>
      </c>
      <c r="CW53">
        <v>2</v>
      </c>
      <c r="CX53">
        <v>8</v>
      </c>
      <c r="CY53">
        <v>11</v>
      </c>
      <c r="CZ53">
        <v>5</v>
      </c>
      <c r="DA53">
        <v>3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1</v>
      </c>
      <c r="DH53">
        <v>0</v>
      </c>
      <c r="DI53">
        <v>1</v>
      </c>
      <c r="DJ53">
        <v>11</v>
      </c>
      <c r="DK53">
        <v>78</v>
      </c>
      <c r="DL53">
        <v>61</v>
      </c>
      <c r="DM53">
        <v>8</v>
      </c>
      <c r="DN53">
        <v>0</v>
      </c>
      <c r="DO53">
        <v>2</v>
      </c>
      <c r="DP53">
        <v>2</v>
      </c>
      <c r="DQ53">
        <v>1</v>
      </c>
      <c r="DR53">
        <v>1</v>
      </c>
      <c r="DS53">
        <v>1</v>
      </c>
      <c r="DT53">
        <v>0</v>
      </c>
      <c r="DU53">
        <v>2</v>
      </c>
      <c r="DV53">
        <v>78</v>
      </c>
      <c r="DW53">
        <v>18</v>
      </c>
      <c r="DX53">
        <v>17</v>
      </c>
      <c r="DY53">
        <v>1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18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</row>
    <row r="54" spans="1:172" ht="14.25">
      <c r="A54">
        <v>49</v>
      </c>
      <c r="B54" t="str">
        <f t="shared" si="8"/>
        <v>100901</v>
      </c>
      <c r="C54" t="str">
        <f t="shared" si="9"/>
        <v>Działoszyn</v>
      </c>
      <c r="D54" t="str">
        <f t="shared" si="10"/>
        <v>pajęczański</v>
      </c>
      <c r="E54" t="str">
        <f t="shared" si="1"/>
        <v>łódzkie</v>
      </c>
      <c r="F54">
        <v>8</v>
      </c>
      <c r="G54" t="str">
        <f>"Dom Pomocy Społecznej, Bobrowniki 50, 98-355 Działoszyn"</f>
        <v>Dom Pomocy Społecznej, Bobrowniki 50, 98-355 Działoszyn</v>
      </c>
      <c r="H54">
        <v>20</v>
      </c>
      <c r="I54">
        <v>20</v>
      </c>
      <c r="J54">
        <v>0</v>
      </c>
      <c r="K54">
        <v>20</v>
      </c>
      <c r="L54">
        <v>12</v>
      </c>
      <c r="M54">
        <v>8</v>
      </c>
      <c r="N54">
        <v>8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8</v>
      </c>
      <c r="Z54">
        <v>0</v>
      </c>
      <c r="AA54">
        <v>0</v>
      </c>
      <c r="AB54">
        <v>8</v>
      </c>
      <c r="AC54">
        <v>0</v>
      </c>
      <c r="AD54">
        <v>8</v>
      </c>
      <c r="AE54">
        <v>2</v>
      </c>
      <c r="AF54">
        <v>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2</v>
      </c>
      <c r="AQ54">
        <v>1</v>
      </c>
      <c r="AR54">
        <v>0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2</v>
      </c>
      <c r="DL54">
        <v>2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2</v>
      </c>
      <c r="DW54">
        <v>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1</v>
      </c>
      <c r="EG54">
        <v>0</v>
      </c>
      <c r="EH54">
        <v>1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1</v>
      </c>
      <c r="ET54">
        <v>0</v>
      </c>
      <c r="EU54">
        <v>1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</row>
    <row r="55" spans="1:172" ht="14.25">
      <c r="A55">
        <v>50</v>
      </c>
      <c r="B55" t="str">
        <f>"100902"</f>
        <v>100902</v>
      </c>
      <c r="C55" t="str">
        <f>"Kiełczygłów"</f>
        <v>Kiełczygłów</v>
      </c>
      <c r="D55" t="str">
        <f t="shared" si="10"/>
        <v>pajęczański</v>
      </c>
      <c r="E55" t="str">
        <f t="shared" si="1"/>
        <v>łódzkie</v>
      </c>
      <c r="F55">
        <v>1</v>
      </c>
      <c r="G55" t="str">
        <f>"Szkoła Podstawowa w Kiełczygłowie, Tysiąclecia 8, 98-358 Kiełczygłów"</f>
        <v>Szkoła Podstawowa w Kiełczygłowie, Tysiąclecia 8, 98-358 Kiełczygłów</v>
      </c>
      <c r="H55">
        <v>2056</v>
      </c>
      <c r="I55">
        <v>2056</v>
      </c>
      <c r="J55">
        <v>0</v>
      </c>
      <c r="K55">
        <v>1450</v>
      </c>
      <c r="L55">
        <v>1148</v>
      </c>
      <c r="M55">
        <v>302</v>
      </c>
      <c r="N55">
        <v>302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302</v>
      </c>
      <c r="Z55">
        <v>0</v>
      </c>
      <c r="AA55">
        <v>0</v>
      </c>
      <c r="AB55">
        <v>302</v>
      </c>
      <c r="AC55">
        <v>10</v>
      </c>
      <c r="AD55">
        <v>292</v>
      </c>
      <c r="AE55">
        <v>8</v>
      </c>
      <c r="AF55">
        <v>6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8</v>
      </c>
      <c r="AQ55">
        <v>9</v>
      </c>
      <c r="AR55">
        <v>2</v>
      </c>
      <c r="AS55">
        <v>2</v>
      </c>
      <c r="AT55">
        <v>2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1</v>
      </c>
      <c r="BA55">
        <v>1</v>
      </c>
      <c r="BB55">
        <v>9</v>
      </c>
      <c r="BC55">
        <v>17</v>
      </c>
      <c r="BD55">
        <v>8</v>
      </c>
      <c r="BE55">
        <v>2</v>
      </c>
      <c r="BF55">
        <v>1</v>
      </c>
      <c r="BG55">
        <v>0</v>
      </c>
      <c r="BH55">
        <v>0</v>
      </c>
      <c r="BI55">
        <v>2</v>
      </c>
      <c r="BJ55">
        <v>3</v>
      </c>
      <c r="BK55">
        <v>0</v>
      </c>
      <c r="BL55">
        <v>0</v>
      </c>
      <c r="BM55">
        <v>1</v>
      </c>
      <c r="BN55">
        <v>17</v>
      </c>
      <c r="BO55">
        <v>153</v>
      </c>
      <c r="BP55">
        <v>118</v>
      </c>
      <c r="BQ55">
        <v>2</v>
      </c>
      <c r="BR55">
        <v>2</v>
      </c>
      <c r="BS55">
        <v>8</v>
      </c>
      <c r="BT55">
        <v>2</v>
      </c>
      <c r="BU55">
        <v>0</v>
      </c>
      <c r="BV55">
        <v>19</v>
      </c>
      <c r="BW55">
        <v>0</v>
      </c>
      <c r="BX55">
        <v>0</v>
      </c>
      <c r="BY55">
        <v>2</v>
      </c>
      <c r="BZ55">
        <v>153</v>
      </c>
      <c r="CA55">
        <v>6</v>
      </c>
      <c r="CB55">
        <v>3</v>
      </c>
      <c r="CC55">
        <v>1</v>
      </c>
      <c r="CD55">
        <v>1</v>
      </c>
      <c r="CE55">
        <v>1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6</v>
      </c>
      <c r="CM55">
        <v>6</v>
      </c>
      <c r="CN55">
        <v>1</v>
      </c>
      <c r="CO55">
        <v>1</v>
      </c>
      <c r="CP55">
        <v>1</v>
      </c>
      <c r="CQ55">
        <v>2</v>
      </c>
      <c r="CR55">
        <v>1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6</v>
      </c>
      <c r="CY55">
        <v>23</v>
      </c>
      <c r="CZ55">
        <v>11</v>
      </c>
      <c r="DA55">
        <v>1</v>
      </c>
      <c r="DB55">
        <v>0</v>
      </c>
      <c r="DC55">
        <v>5</v>
      </c>
      <c r="DD55">
        <v>1</v>
      </c>
      <c r="DE55">
        <v>0</v>
      </c>
      <c r="DF55">
        <v>0</v>
      </c>
      <c r="DG55">
        <v>3</v>
      </c>
      <c r="DH55">
        <v>1</v>
      </c>
      <c r="DI55">
        <v>1</v>
      </c>
      <c r="DJ55">
        <v>23</v>
      </c>
      <c r="DK55">
        <v>29</v>
      </c>
      <c r="DL55">
        <v>15</v>
      </c>
      <c r="DM55">
        <v>4</v>
      </c>
      <c r="DN55">
        <v>0</v>
      </c>
      <c r="DO55">
        <v>6</v>
      </c>
      <c r="DP55">
        <v>0</v>
      </c>
      <c r="DQ55">
        <v>1</v>
      </c>
      <c r="DR55">
        <v>2</v>
      </c>
      <c r="DS55">
        <v>0</v>
      </c>
      <c r="DT55">
        <v>1</v>
      </c>
      <c r="DU55">
        <v>0</v>
      </c>
      <c r="DV55">
        <v>29</v>
      </c>
      <c r="DW55">
        <v>36</v>
      </c>
      <c r="DX55">
        <v>21</v>
      </c>
      <c r="DY55">
        <v>5</v>
      </c>
      <c r="DZ55">
        <v>0</v>
      </c>
      <c r="EA55">
        <v>0</v>
      </c>
      <c r="EB55">
        <v>0</v>
      </c>
      <c r="EC55">
        <v>1</v>
      </c>
      <c r="ED55">
        <v>3</v>
      </c>
      <c r="EE55">
        <v>2</v>
      </c>
      <c r="EF55">
        <v>1</v>
      </c>
      <c r="EG55">
        <v>3</v>
      </c>
      <c r="EH55">
        <v>36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2</v>
      </c>
      <c r="ET55">
        <v>2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2</v>
      </c>
      <c r="FE55">
        <v>3</v>
      </c>
      <c r="FF55">
        <v>1</v>
      </c>
      <c r="FG55">
        <v>0</v>
      </c>
      <c r="FH55">
        <v>0</v>
      </c>
      <c r="FI55">
        <v>1</v>
      </c>
      <c r="FJ55">
        <v>1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3</v>
      </c>
    </row>
    <row r="56" spans="1:172" ht="14.25">
      <c r="A56">
        <v>51</v>
      </c>
      <c r="B56" t="str">
        <f>"100902"</f>
        <v>100902</v>
      </c>
      <c r="C56" t="str">
        <f>"Kiełczygłów"</f>
        <v>Kiełczygłów</v>
      </c>
      <c r="D56" t="str">
        <f t="shared" si="10"/>
        <v>pajęczański</v>
      </c>
      <c r="E56" t="str">
        <f t="shared" si="1"/>
        <v>łódzkie</v>
      </c>
      <c r="F56">
        <v>2</v>
      </c>
      <c r="G56" t="str">
        <f>"Budynek OSP, Huta 1a, 98-358 Kiełczygłów"</f>
        <v>Budynek OSP, Huta 1a, 98-358 Kiełczygłów</v>
      </c>
      <c r="H56">
        <v>597</v>
      </c>
      <c r="I56">
        <v>597</v>
      </c>
      <c r="J56">
        <v>0</v>
      </c>
      <c r="K56">
        <v>420</v>
      </c>
      <c r="L56">
        <v>333</v>
      </c>
      <c r="M56">
        <v>87</v>
      </c>
      <c r="N56">
        <v>87</v>
      </c>
      <c r="O56">
        <v>0</v>
      </c>
      <c r="P56">
        <v>0</v>
      </c>
      <c r="Q56">
        <v>2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87</v>
      </c>
      <c r="Z56">
        <v>0</v>
      </c>
      <c r="AA56">
        <v>0</v>
      </c>
      <c r="AB56">
        <v>87</v>
      </c>
      <c r="AC56">
        <v>0</v>
      </c>
      <c r="AD56">
        <v>87</v>
      </c>
      <c r="AE56">
        <v>5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2</v>
      </c>
      <c r="AM56">
        <v>0</v>
      </c>
      <c r="AN56">
        <v>0</v>
      </c>
      <c r="AO56">
        <v>1</v>
      </c>
      <c r="AP56">
        <v>5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0</v>
      </c>
      <c r="BB56">
        <v>1</v>
      </c>
      <c r="BC56">
        <v>2</v>
      </c>
      <c r="BD56">
        <v>0</v>
      </c>
      <c r="BE56">
        <v>1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2</v>
      </c>
      <c r="BO56">
        <v>50</v>
      </c>
      <c r="BP56">
        <v>32</v>
      </c>
      <c r="BQ56">
        <v>3</v>
      </c>
      <c r="BR56">
        <v>4</v>
      </c>
      <c r="BS56">
        <v>6</v>
      </c>
      <c r="BT56">
        <v>1</v>
      </c>
      <c r="BU56">
        <v>0</v>
      </c>
      <c r="BV56">
        <v>3</v>
      </c>
      <c r="BW56">
        <v>1</v>
      </c>
      <c r="BX56">
        <v>0</v>
      </c>
      <c r="BY56">
        <v>0</v>
      </c>
      <c r="BZ56">
        <v>50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3</v>
      </c>
      <c r="CZ56">
        <v>3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3</v>
      </c>
      <c r="DK56">
        <v>8</v>
      </c>
      <c r="DL56">
        <v>3</v>
      </c>
      <c r="DM56">
        <v>0</v>
      </c>
      <c r="DN56">
        <v>0</v>
      </c>
      <c r="DO56">
        <v>5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8</v>
      </c>
      <c r="DW56">
        <v>15</v>
      </c>
      <c r="DX56">
        <v>15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15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2</v>
      </c>
      <c r="ET56">
        <v>1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1</v>
      </c>
      <c r="FB56">
        <v>0</v>
      </c>
      <c r="FC56">
        <v>0</v>
      </c>
      <c r="FD56">
        <v>2</v>
      </c>
      <c r="FE56">
        <v>1</v>
      </c>
      <c r="FF56">
        <v>0</v>
      </c>
      <c r="FG56">
        <v>1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1</v>
      </c>
    </row>
    <row r="57" spans="1:172" ht="14.25">
      <c r="A57">
        <v>52</v>
      </c>
      <c r="B57" t="str">
        <f>"100902"</f>
        <v>100902</v>
      </c>
      <c r="C57" t="str">
        <f>"Kiełczygłów"</f>
        <v>Kiełczygłów</v>
      </c>
      <c r="D57" t="str">
        <f t="shared" si="10"/>
        <v>pajęczański</v>
      </c>
      <c r="E57" t="str">
        <f t="shared" si="1"/>
        <v>łódzkie</v>
      </c>
      <c r="F57">
        <v>3</v>
      </c>
      <c r="G57" t="str">
        <f>"Szkoła Podstawowa w Chorzewie, Chorzew 4, 98-358 Kiełczygłów"</f>
        <v>Szkoła Podstawowa w Chorzewie, Chorzew 4, 98-358 Kiełczygłów</v>
      </c>
      <c r="H57">
        <v>868</v>
      </c>
      <c r="I57">
        <v>868</v>
      </c>
      <c r="J57">
        <v>0</v>
      </c>
      <c r="K57">
        <v>608</v>
      </c>
      <c r="L57">
        <v>440</v>
      </c>
      <c r="M57">
        <v>168</v>
      </c>
      <c r="N57">
        <v>168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168</v>
      </c>
      <c r="Z57">
        <v>0</v>
      </c>
      <c r="AA57">
        <v>0</v>
      </c>
      <c r="AB57">
        <v>168</v>
      </c>
      <c r="AC57">
        <v>5</v>
      </c>
      <c r="AD57">
        <v>163</v>
      </c>
      <c r="AE57">
        <v>7</v>
      </c>
      <c r="AF57">
        <v>5</v>
      </c>
      <c r="AG57">
        <v>2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7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13</v>
      </c>
      <c r="BD57">
        <v>5</v>
      </c>
      <c r="BE57">
        <v>4</v>
      </c>
      <c r="BF57">
        <v>1</v>
      </c>
      <c r="BG57">
        <v>2</v>
      </c>
      <c r="BH57">
        <v>1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13</v>
      </c>
      <c r="BO57">
        <v>88</v>
      </c>
      <c r="BP57">
        <v>68</v>
      </c>
      <c r="BQ57">
        <v>5</v>
      </c>
      <c r="BR57">
        <v>0</v>
      </c>
      <c r="BS57">
        <v>4</v>
      </c>
      <c r="BT57">
        <v>0</v>
      </c>
      <c r="BU57">
        <v>0</v>
      </c>
      <c r="BV57">
        <v>11</v>
      </c>
      <c r="BW57">
        <v>0</v>
      </c>
      <c r="BX57">
        <v>0</v>
      </c>
      <c r="BY57">
        <v>0</v>
      </c>
      <c r="BZ57">
        <v>88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20</v>
      </c>
      <c r="CZ57">
        <v>17</v>
      </c>
      <c r="DA57">
        <v>1</v>
      </c>
      <c r="DB57">
        <v>0</v>
      </c>
      <c r="DC57">
        <v>0</v>
      </c>
      <c r="DD57">
        <v>1</v>
      </c>
      <c r="DE57">
        <v>0</v>
      </c>
      <c r="DF57">
        <v>0</v>
      </c>
      <c r="DG57">
        <v>1</v>
      </c>
      <c r="DH57">
        <v>0</v>
      </c>
      <c r="DI57">
        <v>0</v>
      </c>
      <c r="DJ57">
        <v>20</v>
      </c>
      <c r="DK57">
        <v>19</v>
      </c>
      <c r="DL57">
        <v>14</v>
      </c>
      <c r="DM57">
        <v>1</v>
      </c>
      <c r="DN57">
        <v>0</v>
      </c>
      <c r="DO57">
        <v>0</v>
      </c>
      <c r="DP57">
        <v>0</v>
      </c>
      <c r="DQ57">
        <v>3</v>
      </c>
      <c r="DR57">
        <v>1</v>
      </c>
      <c r="DS57">
        <v>0</v>
      </c>
      <c r="DT57">
        <v>0</v>
      </c>
      <c r="DU57">
        <v>0</v>
      </c>
      <c r="DV57">
        <v>19</v>
      </c>
      <c r="DW57">
        <v>14</v>
      </c>
      <c r="DX57">
        <v>11</v>
      </c>
      <c r="DY57">
        <v>3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14</v>
      </c>
      <c r="EI57">
        <v>1</v>
      </c>
      <c r="EJ57">
        <v>0</v>
      </c>
      <c r="EK57">
        <v>1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1</v>
      </c>
      <c r="ES57">
        <v>1</v>
      </c>
      <c r="ET57">
        <v>1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</row>
    <row r="58" spans="1:172" ht="14.25">
      <c r="A58">
        <v>53</v>
      </c>
      <c r="B58" t="str">
        <f>"100903"</f>
        <v>100903</v>
      </c>
      <c r="C58" t="str">
        <f>"Nowa Brzeźnica"</f>
        <v>Nowa Brzeźnica</v>
      </c>
      <c r="D58" t="str">
        <f t="shared" si="10"/>
        <v>pajęczański</v>
      </c>
      <c r="E58" t="str">
        <f t="shared" si="1"/>
        <v>łódzkie</v>
      </c>
      <c r="F58">
        <v>1</v>
      </c>
      <c r="G58" t="str">
        <f>"Gimnazjum, Kościuszki 100, 98-331 Nowa Brzeźnica"</f>
        <v>Gimnazjum, Kościuszki 100, 98-331 Nowa Brzeźnica</v>
      </c>
      <c r="H58">
        <v>1511</v>
      </c>
      <c r="I58">
        <v>1511</v>
      </c>
      <c r="J58">
        <v>0</v>
      </c>
      <c r="K58">
        <v>920</v>
      </c>
      <c r="L58">
        <v>700</v>
      </c>
      <c r="M58">
        <v>220</v>
      </c>
      <c r="N58">
        <v>220</v>
      </c>
      <c r="O58">
        <v>0</v>
      </c>
      <c r="P58">
        <v>0</v>
      </c>
      <c r="Q58">
        <v>3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220</v>
      </c>
      <c r="Z58">
        <v>0</v>
      </c>
      <c r="AA58">
        <v>0</v>
      </c>
      <c r="AB58">
        <v>220</v>
      </c>
      <c r="AC58">
        <v>5</v>
      </c>
      <c r="AD58">
        <v>215</v>
      </c>
      <c r="AE58">
        <v>5</v>
      </c>
      <c r="AF58">
        <v>2</v>
      </c>
      <c r="AG58">
        <v>1</v>
      </c>
      <c r="AH58">
        <v>0</v>
      </c>
      <c r="AI58">
        <v>0</v>
      </c>
      <c r="AJ58">
        <v>1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5</v>
      </c>
      <c r="AQ58">
        <v>2</v>
      </c>
      <c r="AR58">
        <v>2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2</v>
      </c>
      <c r="BC58">
        <v>14</v>
      </c>
      <c r="BD58">
        <v>4</v>
      </c>
      <c r="BE58">
        <v>4</v>
      </c>
      <c r="BF58">
        <v>1</v>
      </c>
      <c r="BG58">
        <v>1</v>
      </c>
      <c r="BH58">
        <v>0</v>
      </c>
      <c r="BI58">
        <v>1</v>
      </c>
      <c r="BJ58">
        <v>0</v>
      </c>
      <c r="BK58">
        <v>0</v>
      </c>
      <c r="BL58">
        <v>0</v>
      </c>
      <c r="BM58">
        <v>3</v>
      </c>
      <c r="BN58">
        <v>14</v>
      </c>
      <c r="BO58">
        <v>125</v>
      </c>
      <c r="BP58">
        <v>109</v>
      </c>
      <c r="BQ58">
        <v>1</v>
      </c>
      <c r="BR58">
        <v>2</v>
      </c>
      <c r="BS58">
        <v>3</v>
      </c>
      <c r="BT58">
        <v>0</v>
      </c>
      <c r="BU58">
        <v>0</v>
      </c>
      <c r="BV58">
        <v>9</v>
      </c>
      <c r="BW58">
        <v>0</v>
      </c>
      <c r="BX58">
        <v>0</v>
      </c>
      <c r="BY58">
        <v>1</v>
      </c>
      <c r="BZ58">
        <v>125</v>
      </c>
      <c r="CA58">
        <v>4</v>
      </c>
      <c r="CB58">
        <v>3</v>
      </c>
      <c r="CC58">
        <v>0</v>
      </c>
      <c r="CD58">
        <v>1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</v>
      </c>
      <c r="CM58">
        <v>4</v>
      </c>
      <c r="CN58">
        <v>2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4</v>
      </c>
      <c r="CY58">
        <v>12</v>
      </c>
      <c r="CZ58">
        <v>6</v>
      </c>
      <c r="DA58">
        <v>3</v>
      </c>
      <c r="DB58">
        <v>1</v>
      </c>
      <c r="DC58">
        <v>0</v>
      </c>
      <c r="DD58">
        <v>0</v>
      </c>
      <c r="DE58">
        <v>1</v>
      </c>
      <c r="DF58">
        <v>1</v>
      </c>
      <c r="DG58">
        <v>0</v>
      </c>
      <c r="DH58">
        <v>0</v>
      </c>
      <c r="DI58">
        <v>0</v>
      </c>
      <c r="DJ58">
        <v>12</v>
      </c>
      <c r="DK58">
        <v>21</v>
      </c>
      <c r="DL58">
        <v>13</v>
      </c>
      <c r="DM58">
        <v>4</v>
      </c>
      <c r="DN58">
        <v>0</v>
      </c>
      <c r="DO58">
        <v>3</v>
      </c>
      <c r="DP58">
        <v>0</v>
      </c>
      <c r="DQ58">
        <v>1</v>
      </c>
      <c r="DR58">
        <v>0</v>
      </c>
      <c r="DS58">
        <v>0</v>
      </c>
      <c r="DT58">
        <v>0</v>
      </c>
      <c r="DU58">
        <v>0</v>
      </c>
      <c r="DV58">
        <v>21</v>
      </c>
      <c r="DW58">
        <v>27</v>
      </c>
      <c r="DX58">
        <v>3</v>
      </c>
      <c r="DY58">
        <v>4</v>
      </c>
      <c r="DZ58">
        <v>0</v>
      </c>
      <c r="EA58">
        <v>0</v>
      </c>
      <c r="EB58">
        <v>3</v>
      </c>
      <c r="EC58">
        <v>0</v>
      </c>
      <c r="ED58">
        <v>1</v>
      </c>
      <c r="EE58">
        <v>0</v>
      </c>
      <c r="EF58">
        <v>12</v>
      </c>
      <c r="EG58">
        <v>4</v>
      </c>
      <c r="EH58">
        <v>27</v>
      </c>
      <c r="EI58">
        <v>1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</row>
    <row r="59" spans="1:172" ht="14.25">
      <c r="A59">
        <v>54</v>
      </c>
      <c r="B59" t="str">
        <f>"100903"</f>
        <v>100903</v>
      </c>
      <c r="C59" t="str">
        <f>"Nowa Brzeźnica"</f>
        <v>Nowa Brzeźnica</v>
      </c>
      <c r="D59" t="str">
        <f t="shared" si="10"/>
        <v>pajęczański</v>
      </c>
      <c r="E59" t="str">
        <f t="shared" si="1"/>
        <v>łódzkie</v>
      </c>
      <c r="F59">
        <v>2</v>
      </c>
      <c r="G59" t="str">
        <f>"Szkoła Podstawowa Nowa Brzeźnica Filia Dworszowice Kościelne, Dworszowice Kościelne-Kolonia 74, 98-331 Nowa Brzeźnica"</f>
        <v>Szkoła Podstawowa Nowa Brzeźnica Filia Dworszowice Kościelne, Dworszowice Kościelne-Kolonia 74, 98-331 Nowa Brzeźnica</v>
      </c>
      <c r="H59">
        <v>695</v>
      </c>
      <c r="I59">
        <v>695</v>
      </c>
      <c r="J59">
        <v>0</v>
      </c>
      <c r="K59">
        <v>630</v>
      </c>
      <c r="L59">
        <v>526</v>
      </c>
      <c r="M59">
        <v>104</v>
      </c>
      <c r="N59">
        <v>104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104</v>
      </c>
      <c r="Z59">
        <v>0</v>
      </c>
      <c r="AA59">
        <v>0</v>
      </c>
      <c r="AB59">
        <v>104</v>
      </c>
      <c r="AC59">
        <v>5</v>
      </c>
      <c r="AD59">
        <v>99</v>
      </c>
      <c r="AE59">
        <v>4</v>
      </c>
      <c r="AF59">
        <v>2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4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14</v>
      </c>
      <c r="BD59">
        <v>11</v>
      </c>
      <c r="BE59">
        <v>1</v>
      </c>
      <c r="BF59">
        <v>0</v>
      </c>
      <c r="BG59">
        <v>0</v>
      </c>
      <c r="BH59">
        <v>0</v>
      </c>
      <c r="BI59">
        <v>2</v>
      </c>
      <c r="BJ59">
        <v>0</v>
      </c>
      <c r="BK59">
        <v>0</v>
      </c>
      <c r="BL59">
        <v>0</v>
      </c>
      <c r="BM59">
        <v>0</v>
      </c>
      <c r="BN59">
        <v>14</v>
      </c>
      <c r="BO59">
        <v>46</v>
      </c>
      <c r="BP59">
        <v>34</v>
      </c>
      <c r="BQ59">
        <v>2</v>
      </c>
      <c r="BR59">
        <v>0</v>
      </c>
      <c r="BS59">
        <v>1</v>
      </c>
      <c r="BT59">
        <v>0</v>
      </c>
      <c r="BU59">
        <v>0</v>
      </c>
      <c r="BV59">
        <v>9</v>
      </c>
      <c r="BW59">
        <v>0</v>
      </c>
      <c r="BX59">
        <v>0</v>
      </c>
      <c r="BY59">
        <v>0</v>
      </c>
      <c r="BZ59">
        <v>46</v>
      </c>
      <c r="CA59">
        <v>4</v>
      </c>
      <c r="CB59">
        <v>3</v>
      </c>
      <c r="CC59">
        <v>1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4</v>
      </c>
      <c r="CM59">
        <v>1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1</v>
      </c>
      <c r="CT59">
        <v>0</v>
      </c>
      <c r="CU59">
        <v>0</v>
      </c>
      <c r="CV59">
        <v>0</v>
      </c>
      <c r="CW59">
        <v>0</v>
      </c>
      <c r="CX59">
        <v>1</v>
      </c>
      <c r="CY59">
        <v>4</v>
      </c>
      <c r="CZ59">
        <v>4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4</v>
      </c>
      <c r="DK59">
        <v>11</v>
      </c>
      <c r="DL59">
        <v>10</v>
      </c>
      <c r="DM59">
        <v>0</v>
      </c>
      <c r="DN59">
        <v>1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11</v>
      </c>
      <c r="DW59">
        <v>13</v>
      </c>
      <c r="DX59">
        <v>6</v>
      </c>
      <c r="DY59">
        <v>2</v>
      </c>
      <c r="DZ59">
        <v>0</v>
      </c>
      <c r="EA59">
        <v>0</v>
      </c>
      <c r="EB59">
        <v>0</v>
      </c>
      <c r="EC59">
        <v>1</v>
      </c>
      <c r="ED59">
        <v>0</v>
      </c>
      <c r="EE59">
        <v>0</v>
      </c>
      <c r="EF59">
        <v>3</v>
      </c>
      <c r="EG59">
        <v>1</v>
      </c>
      <c r="EH59">
        <v>13</v>
      </c>
      <c r="EI59">
        <v>2</v>
      </c>
      <c r="EJ59">
        <v>2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2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</row>
    <row r="60" spans="1:172" ht="14.25">
      <c r="A60">
        <v>55</v>
      </c>
      <c r="B60" t="str">
        <f>"100903"</f>
        <v>100903</v>
      </c>
      <c r="C60" t="str">
        <f>"Nowa Brzeźnica"</f>
        <v>Nowa Brzeźnica</v>
      </c>
      <c r="D60" t="str">
        <f t="shared" si="10"/>
        <v>pajęczański</v>
      </c>
      <c r="E60" t="str">
        <f t="shared" si="1"/>
        <v>łódzkie</v>
      </c>
      <c r="F60">
        <v>3</v>
      </c>
      <c r="G60" t="str">
        <f>"Szkoła Podstawowa Nowa Brzeźnica Filia Prusicko, Prusicko 101, 98-331 Nowa Brzeźnica"</f>
        <v>Szkoła Podstawowa Nowa Brzeźnica Filia Prusicko, Prusicko 101, 98-331 Nowa Brzeźnica</v>
      </c>
      <c r="H60">
        <v>952</v>
      </c>
      <c r="I60">
        <v>952</v>
      </c>
      <c r="J60">
        <v>0</v>
      </c>
      <c r="K60">
        <v>670</v>
      </c>
      <c r="L60">
        <v>596</v>
      </c>
      <c r="M60">
        <v>74</v>
      </c>
      <c r="N60">
        <v>74</v>
      </c>
      <c r="O60">
        <v>0</v>
      </c>
      <c r="P60">
        <v>0</v>
      </c>
      <c r="Q60">
        <v>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74</v>
      </c>
      <c r="Z60">
        <v>0</v>
      </c>
      <c r="AA60">
        <v>0</v>
      </c>
      <c r="AB60">
        <v>74</v>
      </c>
      <c r="AC60">
        <v>2</v>
      </c>
      <c r="AD60">
        <v>72</v>
      </c>
      <c r="AE60">
        <v>1</v>
      </c>
      <c r="AF60">
        <v>0</v>
      </c>
      <c r="AG60">
        <v>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2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1</v>
      </c>
      <c r="AZ60">
        <v>0</v>
      </c>
      <c r="BA60">
        <v>0</v>
      </c>
      <c r="BB60">
        <v>2</v>
      </c>
      <c r="BC60">
        <v>8</v>
      </c>
      <c r="BD60">
        <v>3</v>
      </c>
      <c r="BE60">
        <v>0</v>
      </c>
      <c r="BF60">
        <v>2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3</v>
      </c>
      <c r="BN60">
        <v>8</v>
      </c>
      <c r="BO60">
        <v>22</v>
      </c>
      <c r="BP60">
        <v>13</v>
      </c>
      <c r="BQ60">
        <v>2</v>
      </c>
      <c r="BR60">
        <v>2</v>
      </c>
      <c r="BS60">
        <v>1</v>
      </c>
      <c r="BT60">
        <v>1</v>
      </c>
      <c r="BU60">
        <v>0</v>
      </c>
      <c r="BV60">
        <v>2</v>
      </c>
      <c r="BW60">
        <v>0</v>
      </c>
      <c r="BX60">
        <v>1</v>
      </c>
      <c r="BY60">
        <v>0</v>
      </c>
      <c r="BZ60">
        <v>22</v>
      </c>
      <c r="CA60">
        <v>6</v>
      </c>
      <c r="CB60">
        <v>0</v>
      </c>
      <c r="CC60">
        <v>5</v>
      </c>
      <c r="CD60">
        <v>0</v>
      </c>
      <c r="CE60">
        <v>0</v>
      </c>
      <c r="CF60">
        <v>1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6</v>
      </c>
      <c r="CM60">
        <v>1</v>
      </c>
      <c r="CN60">
        <v>1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5</v>
      </c>
      <c r="CZ60">
        <v>1</v>
      </c>
      <c r="DA60">
        <v>1</v>
      </c>
      <c r="DB60">
        <v>0</v>
      </c>
      <c r="DC60">
        <v>0</v>
      </c>
      <c r="DD60">
        <v>2</v>
      </c>
      <c r="DE60">
        <v>0</v>
      </c>
      <c r="DF60">
        <v>0</v>
      </c>
      <c r="DG60">
        <v>1</v>
      </c>
      <c r="DH60">
        <v>0</v>
      </c>
      <c r="DI60">
        <v>0</v>
      </c>
      <c r="DJ60">
        <v>5</v>
      </c>
      <c r="DK60">
        <v>25</v>
      </c>
      <c r="DL60">
        <v>20</v>
      </c>
      <c r="DM60">
        <v>2</v>
      </c>
      <c r="DN60">
        <v>0</v>
      </c>
      <c r="DO60">
        <v>0</v>
      </c>
      <c r="DP60">
        <v>2</v>
      </c>
      <c r="DQ60">
        <v>0</v>
      </c>
      <c r="DR60">
        <v>0</v>
      </c>
      <c r="DS60">
        <v>0</v>
      </c>
      <c r="DT60">
        <v>1</v>
      </c>
      <c r="DU60">
        <v>0</v>
      </c>
      <c r="DV60">
        <v>25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1</v>
      </c>
      <c r="ED60">
        <v>0</v>
      </c>
      <c r="EE60">
        <v>0</v>
      </c>
      <c r="EF60">
        <v>0</v>
      </c>
      <c r="EG60">
        <v>0</v>
      </c>
      <c r="EH60">
        <v>1</v>
      </c>
      <c r="EI60">
        <v>1</v>
      </c>
      <c r="EJ60">
        <v>0</v>
      </c>
      <c r="EK60">
        <v>1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</row>
    <row r="61" spans="1:172" ht="14.25">
      <c r="A61">
        <v>56</v>
      </c>
      <c r="B61" t="str">
        <f>"100903"</f>
        <v>100903</v>
      </c>
      <c r="C61" t="str">
        <f>"Nowa Brzeźnica"</f>
        <v>Nowa Brzeźnica</v>
      </c>
      <c r="D61" t="str">
        <f t="shared" si="10"/>
        <v>pajęczański</v>
      </c>
      <c r="E61" t="str">
        <f t="shared" si="1"/>
        <v>łódzkie</v>
      </c>
      <c r="F61">
        <v>4</v>
      </c>
      <c r="G61" t="str">
        <f>"Szkoła Podstawowa Nowa Brzeźnica Filia Dubidze, Szkolna 16, Dubidze, 98-331 Nowa Brzeźnica"</f>
        <v>Szkoła Podstawowa Nowa Brzeźnica Filia Dubidze, Szkolna 16, Dubidze, 98-331 Nowa Brzeźnica</v>
      </c>
      <c r="H61">
        <v>754</v>
      </c>
      <c r="I61">
        <v>754</v>
      </c>
      <c r="J61">
        <v>0</v>
      </c>
      <c r="K61">
        <v>540</v>
      </c>
      <c r="L61">
        <v>394</v>
      </c>
      <c r="M61">
        <v>146</v>
      </c>
      <c r="N61">
        <v>146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146</v>
      </c>
      <c r="Z61">
        <v>0</v>
      </c>
      <c r="AA61">
        <v>0</v>
      </c>
      <c r="AB61">
        <v>146</v>
      </c>
      <c r="AC61">
        <v>6</v>
      </c>
      <c r="AD61">
        <v>140</v>
      </c>
      <c r="AE61">
        <v>7</v>
      </c>
      <c r="AF61">
        <v>3</v>
      </c>
      <c r="AG61">
        <v>2</v>
      </c>
      <c r="AH61">
        <v>0</v>
      </c>
      <c r="AI61">
        <v>0</v>
      </c>
      <c r="AJ61">
        <v>0</v>
      </c>
      <c r="AK61">
        <v>2</v>
      </c>
      <c r="AL61">
        <v>0</v>
      </c>
      <c r="AM61">
        <v>0</v>
      </c>
      <c r="AN61">
        <v>0</v>
      </c>
      <c r="AO61">
        <v>0</v>
      </c>
      <c r="AP61">
        <v>7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3</v>
      </c>
      <c r="BD61">
        <v>0</v>
      </c>
      <c r="BE61">
        <v>0</v>
      </c>
      <c r="BF61">
        <v>2</v>
      </c>
      <c r="BG61">
        <v>1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3</v>
      </c>
      <c r="BO61">
        <v>80</v>
      </c>
      <c r="BP61">
        <v>61</v>
      </c>
      <c r="BQ61">
        <v>7</v>
      </c>
      <c r="BR61">
        <v>1</v>
      </c>
      <c r="BS61">
        <v>2</v>
      </c>
      <c r="BT61">
        <v>0</v>
      </c>
      <c r="BU61">
        <v>0</v>
      </c>
      <c r="BV61">
        <v>8</v>
      </c>
      <c r="BW61">
        <v>0</v>
      </c>
      <c r="BX61">
        <v>1</v>
      </c>
      <c r="BY61">
        <v>0</v>
      </c>
      <c r="BZ61">
        <v>80</v>
      </c>
      <c r="CA61">
        <v>7</v>
      </c>
      <c r="CB61">
        <v>2</v>
      </c>
      <c r="CC61">
        <v>0</v>
      </c>
      <c r="CD61">
        <v>1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3</v>
      </c>
      <c r="CK61">
        <v>0</v>
      </c>
      <c r="CL61">
        <v>7</v>
      </c>
      <c r="CM61">
        <v>4</v>
      </c>
      <c r="CN61">
        <v>2</v>
      </c>
      <c r="CO61">
        <v>0</v>
      </c>
      <c r="CP61">
        <v>1</v>
      </c>
      <c r="CQ61">
        <v>0</v>
      </c>
      <c r="CR61">
        <v>0</v>
      </c>
      <c r="CS61">
        <v>1</v>
      </c>
      <c r="CT61">
        <v>0</v>
      </c>
      <c r="CU61">
        <v>0</v>
      </c>
      <c r="CV61">
        <v>0</v>
      </c>
      <c r="CW61">
        <v>0</v>
      </c>
      <c r="CX61">
        <v>4</v>
      </c>
      <c r="CY61">
        <v>10</v>
      </c>
      <c r="CZ61">
        <v>8</v>
      </c>
      <c r="DA61">
        <v>0</v>
      </c>
      <c r="DB61">
        <v>0</v>
      </c>
      <c r="DC61">
        <v>1</v>
      </c>
      <c r="DD61">
        <v>1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10</v>
      </c>
      <c r="DK61">
        <v>9</v>
      </c>
      <c r="DL61">
        <v>4</v>
      </c>
      <c r="DM61">
        <v>1</v>
      </c>
      <c r="DN61">
        <v>0</v>
      </c>
      <c r="DO61">
        <v>1</v>
      </c>
      <c r="DP61">
        <v>1</v>
      </c>
      <c r="DQ61">
        <v>0</v>
      </c>
      <c r="DR61">
        <v>0</v>
      </c>
      <c r="DS61">
        <v>0</v>
      </c>
      <c r="DT61">
        <v>1</v>
      </c>
      <c r="DU61">
        <v>1</v>
      </c>
      <c r="DV61">
        <v>9</v>
      </c>
      <c r="DW61">
        <v>12</v>
      </c>
      <c r="DX61">
        <v>4</v>
      </c>
      <c r="DY61">
        <v>2</v>
      </c>
      <c r="DZ61">
        <v>0</v>
      </c>
      <c r="EA61">
        <v>1</v>
      </c>
      <c r="EB61">
        <v>1</v>
      </c>
      <c r="EC61">
        <v>0</v>
      </c>
      <c r="ED61">
        <v>2</v>
      </c>
      <c r="EE61">
        <v>0</v>
      </c>
      <c r="EF61">
        <v>2</v>
      </c>
      <c r="EG61">
        <v>0</v>
      </c>
      <c r="EH61">
        <v>12</v>
      </c>
      <c r="EI61">
        <v>4</v>
      </c>
      <c r="EJ61">
        <v>0</v>
      </c>
      <c r="EK61">
        <v>4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4</v>
      </c>
      <c r="ES61">
        <v>3</v>
      </c>
      <c r="ET61">
        <v>1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</v>
      </c>
      <c r="FC61">
        <v>1</v>
      </c>
      <c r="FD61">
        <v>3</v>
      </c>
      <c r="FE61">
        <v>1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1</v>
      </c>
      <c r="FP61">
        <v>1</v>
      </c>
    </row>
    <row r="62" spans="1:172" ht="14.25">
      <c r="A62">
        <v>57</v>
      </c>
      <c r="B62" t="str">
        <f>"100904"</f>
        <v>100904</v>
      </c>
      <c r="C62" t="str">
        <f>"Pajęczno"</f>
        <v>Pajęczno</v>
      </c>
      <c r="D62" t="str">
        <f t="shared" si="10"/>
        <v>pajęczański</v>
      </c>
      <c r="E62" t="str">
        <f t="shared" si="1"/>
        <v>łódzkie</v>
      </c>
      <c r="F62">
        <v>1</v>
      </c>
      <c r="G62" t="str">
        <f>"Szkoła Podstawowa w Pajęcznie, Wiśniowa 7, 98-330 Pajęczno"</f>
        <v>Szkoła Podstawowa w Pajęcznie, Wiśniowa 7, 98-330 Pajęczno</v>
      </c>
      <c r="H62">
        <v>1454</v>
      </c>
      <c r="I62">
        <v>1454</v>
      </c>
      <c r="J62">
        <v>0</v>
      </c>
      <c r="K62">
        <v>1031</v>
      </c>
      <c r="L62">
        <v>716</v>
      </c>
      <c r="M62">
        <v>315</v>
      </c>
      <c r="N62">
        <v>315</v>
      </c>
      <c r="O62">
        <v>0</v>
      </c>
      <c r="P62">
        <v>0</v>
      </c>
      <c r="Q62">
        <v>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315</v>
      </c>
      <c r="Z62">
        <v>0</v>
      </c>
      <c r="AA62">
        <v>0</v>
      </c>
      <c r="AB62">
        <v>315</v>
      </c>
      <c r="AC62">
        <v>15</v>
      </c>
      <c r="AD62">
        <v>300</v>
      </c>
      <c r="AE62">
        <v>12</v>
      </c>
      <c r="AF62">
        <v>8</v>
      </c>
      <c r="AG62">
        <v>0</v>
      </c>
      <c r="AH62">
        <v>0</v>
      </c>
      <c r="AI62">
        <v>2</v>
      </c>
      <c r="AJ62">
        <v>0</v>
      </c>
      <c r="AK62">
        <v>0</v>
      </c>
      <c r="AL62">
        <v>0</v>
      </c>
      <c r="AM62">
        <v>1</v>
      </c>
      <c r="AN62">
        <v>1</v>
      </c>
      <c r="AO62">
        <v>0</v>
      </c>
      <c r="AP62">
        <v>12</v>
      </c>
      <c r="AQ62">
        <v>1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1</v>
      </c>
      <c r="BB62">
        <v>1</v>
      </c>
      <c r="BC62">
        <v>30</v>
      </c>
      <c r="BD62">
        <v>11</v>
      </c>
      <c r="BE62">
        <v>9</v>
      </c>
      <c r="BF62">
        <v>4</v>
      </c>
      <c r="BG62">
        <v>0</v>
      </c>
      <c r="BH62">
        <v>0</v>
      </c>
      <c r="BI62">
        <v>1</v>
      </c>
      <c r="BJ62">
        <v>1</v>
      </c>
      <c r="BK62">
        <v>0</v>
      </c>
      <c r="BL62">
        <v>1</v>
      </c>
      <c r="BM62">
        <v>3</v>
      </c>
      <c r="BN62">
        <v>30</v>
      </c>
      <c r="BO62">
        <v>147</v>
      </c>
      <c r="BP62">
        <v>90</v>
      </c>
      <c r="BQ62">
        <v>3</v>
      </c>
      <c r="BR62">
        <v>1</v>
      </c>
      <c r="BS62">
        <v>1</v>
      </c>
      <c r="BT62">
        <v>1</v>
      </c>
      <c r="BU62">
        <v>0</v>
      </c>
      <c r="BV62">
        <v>50</v>
      </c>
      <c r="BW62">
        <v>0</v>
      </c>
      <c r="BX62">
        <v>1</v>
      </c>
      <c r="BY62">
        <v>0</v>
      </c>
      <c r="BZ62">
        <v>147</v>
      </c>
      <c r="CA62">
        <v>14</v>
      </c>
      <c r="CB62">
        <v>7</v>
      </c>
      <c r="CC62">
        <v>3</v>
      </c>
      <c r="CD62">
        <v>0</v>
      </c>
      <c r="CE62">
        <v>1</v>
      </c>
      <c r="CF62">
        <v>0</v>
      </c>
      <c r="CG62">
        <v>0</v>
      </c>
      <c r="CH62">
        <v>1</v>
      </c>
      <c r="CI62">
        <v>0</v>
      </c>
      <c r="CJ62">
        <v>0</v>
      </c>
      <c r="CK62">
        <v>2</v>
      </c>
      <c r="CL62">
        <v>14</v>
      </c>
      <c r="CM62">
        <v>4</v>
      </c>
      <c r="CN62">
        <v>3</v>
      </c>
      <c r="CO62">
        <v>0</v>
      </c>
      <c r="CP62">
        <v>0</v>
      </c>
      <c r="CQ62">
        <v>0</v>
      </c>
      <c r="CR62">
        <v>1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4</v>
      </c>
      <c r="CY62">
        <v>14</v>
      </c>
      <c r="CZ62">
        <v>6</v>
      </c>
      <c r="DA62">
        <v>4</v>
      </c>
      <c r="DB62">
        <v>0</v>
      </c>
      <c r="DC62">
        <v>1</v>
      </c>
      <c r="DD62">
        <v>0</v>
      </c>
      <c r="DE62">
        <v>0</v>
      </c>
      <c r="DF62">
        <v>0</v>
      </c>
      <c r="DG62">
        <v>2</v>
      </c>
      <c r="DH62">
        <v>0</v>
      </c>
      <c r="DI62">
        <v>1</v>
      </c>
      <c r="DJ62">
        <v>14</v>
      </c>
      <c r="DK62">
        <v>64</v>
      </c>
      <c r="DL62">
        <v>44</v>
      </c>
      <c r="DM62">
        <v>11</v>
      </c>
      <c r="DN62">
        <v>1</v>
      </c>
      <c r="DO62">
        <v>2</v>
      </c>
      <c r="DP62">
        <v>1</v>
      </c>
      <c r="DQ62">
        <v>2</v>
      </c>
      <c r="DR62">
        <v>2</v>
      </c>
      <c r="DS62">
        <v>0</v>
      </c>
      <c r="DT62">
        <v>0</v>
      </c>
      <c r="DU62">
        <v>1</v>
      </c>
      <c r="DV62">
        <v>64</v>
      </c>
      <c r="DW62">
        <v>13</v>
      </c>
      <c r="DX62">
        <v>5</v>
      </c>
      <c r="DY62">
        <v>3</v>
      </c>
      <c r="DZ62">
        <v>0</v>
      </c>
      <c r="EA62">
        <v>0</v>
      </c>
      <c r="EB62">
        <v>3</v>
      </c>
      <c r="EC62">
        <v>0</v>
      </c>
      <c r="ED62">
        <v>2</v>
      </c>
      <c r="EE62">
        <v>0</v>
      </c>
      <c r="EF62">
        <v>0</v>
      </c>
      <c r="EG62">
        <v>0</v>
      </c>
      <c r="EH62">
        <v>13</v>
      </c>
      <c r="EI62">
        <v>1</v>
      </c>
      <c r="EJ62">
        <v>0</v>
      </c>
      <c r="EK62">
        <v>1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1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</row>
    <row r="63" spans="1:172" ht="14.25">
      <c r="A63">
        <v>58</v>
      </c>
      <c r="B63" t="str">
        <f>"100904"</f>
        <v>100904</v>
      </c>
      <c r="C63" t="str">
        <f>"Pajęczno"</f>
        <v>Pajęczno</v>
      </c>
      <c r="D63" t="str">
        <f t="shared" si="10"/>
        <v>pajęczański</v>
      </c>
      <c r="E63" t="str">
        <f t="shared" si="1"/>
        <v>łódzkie</v>
      </c>
      <c r="F63">
        <v>2</v>
      </c>
      <c r="G63" t="str">
        <f>"Urząd Gminy i Miasta w Pajęcznie, Parkowa 8/12, 98-330 Pajęczno"</f>
        <v>Urząd Gminy i Miasta w Pajęcznie, Parkowa 8/12, 98-330 Pajęczno</v>
      </c>
      <c r="H63">
        <v>2007</v>
      </c>
      <c r="I63">
        <v>2007</v>
      </c>
      <c r="J63">
        <v>0</v>
      </c>
      <c r="K63">
        <v>1410</v>
      </c>
      <c r="L63">
        <v>1021</v>
      </c>
      <c r="M63">
        <v>389</v>
      </c>
      <c r="N63">
        <v>389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389</v>
      </c>
      <c r="Z63">
        <v>0</v>
      </c>
      <c r="AA63">
        <v>0</v>
      </c>
      <c r="AB63">
        <v>389</v>
      </c>
      <c r="AC63">
        <v>3</v>
      </c>
      <c r="AD63">
        <v>386</v>
      </c>
      <c r="AE63">
        <v>9</v>
      </c>
      <c r="AF63">
        <v>1</v>
      </c>
      <c r="AG63">
        <v>1</v>
      </c>
      <c r="AH63">
        <v>0</v>
      </c>
      <c r="AI63">
        <v>0</v>
      </c>
      <c r="AJ63">
        <v>1</v>
      </c>
      <c r="AK63">
        <v>1</v>
      </c>
      <c r="AL63">
        <v>0</v>
      </c>
      <c r="AM63">
        <v>5</v>
      </c>
      <c r="AN63">
        <v>0</v>
      </c>
      <c r="AO63">
        <v>0</v>
      </c>
      <c r="AP63">
        <v>9</v>
      </c>
      <c r="AQ63">
        <v>5</v>
      </c>
      <c r="AR63">
        <v>2</v>
      </c>
      <c r="AS63">
        <v>1</v>
      </c>
      <c r="AT63">
        <v>1</v>
      </c>
      <c r="AU63">
        <v>0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5</v>
      </c>
      <c r="BC63">
        <v>17</v>
      </c>
      <c r="BD63">
        <v>7</v>
      </c>
      <c r="BE63">
        <v>1</v>
      </c>
      <c r="BF63">
        <v>2</v>
      </c>
      <c r="BG63">
        <v>1</v>
      </c>
      <c r="BH63">
        <v>0</v>
      </c>
      <c r="BI63">
        <v>0</v>
      </c>
      <c r="BJ63">
        <v>0</v>
      </c>
      <c r="BK63">
        <v>0</v>
      </c>
      <c r="BL63">
        <v>1</v>
      </c>
      <c r="BM63">
        <v>5</v>
      </c>
      <c r="BN63">
        <v>17</v>
      </c>
      <c r="BO63">
        <v>189</v>
      </c>
      <c r="BP63">
        <v>110</v>
      </c>
      <c r="BQ63">
        <v>10</v>
      </c>
      <c r="BR63">
        <v>2</v>
      </c>
      <c r="BS63">
        <v>3</v>
      </c>
      <c r="BT63">
        <v>0</v>
      </c>
      <c r="BU63">
        <v>1</v>
      </c>
      <c r="BV63">
        <v>63</v>
      </c>
      <c r="BW63">
        <v>0</v>
      </c>
      <c r="BX63">
        <v>0</v>
      </c>
      <c r="BY63">
        <v>0</v>
      </c>
      <c r="BZ63">
        <v>189</v>
      </c>
      <c r="CA63">
        <v>8</v>
      </c>
      <c r="CB63">
        <v>4</v>
      </c>
      <c r="CC63">
        <v>1</v>
      </c>
      <c r="CD63">
        <v>0</v>
      </c>
      <c r="CE63">
        <v>1</v>
      </c>
      <c r="CF63">
        <v>0</v>
      </c>
      <c r="CG63">
        <v>0</v>
      </c>
      <c r="CH63">
        <v>0</v>
      </c>
      <c r="CI63">
        <v>2</v>
      </c>
      <c r="CJ63">
        <v>0</v>
      </c>
      <c r="CK63">
        <v>0</v>
      </c>
      <c r="CL63">
        <v>8</v>
      </c>
      <c r="CM63">
        <v>10</v>
      </c>
      <c r="CN63">
        <v>7</v>
      </c>
      <c r="CO63">
        <v>0</v>
      </c>
      <c r="CP63">
        <v>0</v>
      </c>
      <c r="CQ63">
        <v>0</v>
      </c>
      <c r="CR63">
        <v>0</v>
      </c>
      <c r="CS63">
        <v>1</v>
      </c>
      <c r="CT63">
        <v>1</v>
      </c>
      <c r="CU63">
        <v>0</v>
      </c>
      <c r="CV63">
        <v>1</v>
      </c>
      <c r="CW63">
        <v>0</v>
      </c>
      <c r="CX63">
        <v>10</v>
      </c>
      <c r="CY63">
        <v>36</v>
      </c>
      <c r="CZ63">
        <v>19</v>
      </c>
      <c r="DA63">
        <v>3</v>
      </c>
      <c r="DB63">
        <v>1</v>
      </c>
      <c r="DC63">
        <v>4</v>
      </c>
      <c r="DD63">
        <v>1</v>
      </c>
      <c r="DE63">
        <v>1</v>
      </c>
      <c r="DF63">
        <v>1</v>
      </c>
      <c r="DG63">
        <v>5</v>
      </c>
      <c r="DH63">
        <v>0</v>
      </c>
      <c r="DI63">
        <v>1</v>
      </c>
      <c r="DJ63">
        <v>36</v>
      </c>
      <c r="DK63">
        <v>82</v>
      </c>
      <c r="DL63">
        <v>55</v>
      </c>
      <c r="DM63">
        <v>8</v>
      </c>
      <c r="DN63">
        <v>3</v>
      </c>
      <c r="DO63">
        <v>7</v>
      </c>
      <c r="DP63">
        <v>0</v>
      </c>
      <c r="DQ63">
        <v>3</v>
      </c>
      <c r="DR63">
        <v>1</v>
      </c>
      <c r="DS63">
        <v>1</v>
      </c>
      <c r="DT63">
        <v>4</v>
      </c>
      <c r="DU63">
        <v>0</v>
      </c>
      <c r="DV63">
        <v>82</v>
      </c>
      <c r="DW63">
        <v>19</v>
      </c>
      <c r="DX63">
        <v>10</v>
      </c>
      <c r="DY63">
        <v>2</v>
      </c>
      <c r="DZ63">
        <v>0</v>
      </c>
      <c r="EA63">
        <v>0</v>
      </c>
      <c r="EB63">
        <v>0</v>
      </c>
      <c r="EC63">
        <v>0</v>
      </c>
      <c r="ED63">
        <v>1</v>
      </c>
      <c r="EE63">
        <v>3</v>
      </c>
      <c r="EF63">
        <v>0</v>
      </c>
      <c r="EG63">
        <v>3</v>
      </c>
      <c r="EH63">
        <v>19</v>
      </c>
      <c r="EI63">
        <v>6</v>
      </c>
      <c r="EJ63">
        <v>1</v>
      </c>
      <c r="EK63">
        <v>2</v>
      </c>
      <c r="EL63">
        <v>0</v>
      </c>
      <c r="EM63">
        <v>1</v>
      </c>
      <c r="EN63">
        <v>0</v>
      </c>
      <c r="EO63">
        <v>1</v>
      </c>
      <c r="EP63">
        <v>0</v>
      </c>
      <c r="EQ63">
        <v>1</v>
      </c>
      <c r="ER63">
        <v>6</v>
      </c>
      <c r="ES63">
        <v>1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1</v>
      </c>
      <c r="FD63">
        <v>1</v>
      </c>
      <c r="FE63">
        <v>4</v>
      </c>
      <c r="FF63">
        <v>0</v>
      </c>
      <c r="FG63">
        <v>0</v>
      </c>
      <c r="FH63">
        <v>0</v>
      </c>
      <c r="FI63">
        <v>0</v>
      </c>
      <c r="FJ63">
        <v>1</v>
      </c>
      <c r="FK63">
        <v>0</v>
      </c>
      <c r="FL63">
        <v>0</v>
      </c>
      <c r="FM63">
        <v>2</v>
      </c>
      <c r="FN63">
        <v>0</v>
      </c>
      <c r="FO63">
        <v>1</v>
      </c>
      <c r="FP63">
        <v>4</v>
      </c>
    </row>
    <row r="64" spans="1:172" ht="14.25">
      <c r="A64">
        <v>59</v>
      </c>
      <c r="B64" t="str">
        <f>"100904"</f>
        <v>100904</v>
      </c>
      <c r="C64" t="str">
        <f>"Pajęczno"</f>
        <v>Pajęczno</v>
      </c>
      <c r="D64" t="str">
        <f t="shared" si="10"/>
        <v>pajęczański</v>
      </c>
      <c r="E64" t="str">
        <f t="shared" si="1"/>
        <v>łódzkie</v>
      </c>
      <c r="F64">
        <v>3</v>
      </c>
      <c r="G64" t="str">
        <f>"Szkoła Podstawowa w Makowiskach, Szkolna 1, Makowiska, 98-330 Pajęczno"</f>
        <v>Szkoła Podstawowa w Makowiskach, Szkolna 1, Makowiska, 98-330 Pajęczno</v>
      </c>
      <c r="H64">
        <v>2053</v>
      </c>
      <c r="I64">
        <v>2053</v>
      </c>
      <c r="J64">
        <v>0</v>
      </c>
      <c r="K64">
        <v>1430</v>
      </c>
      <c r="L64">
        <v>1140</v>
      </c>
      <c r="M64">
        <v>290</v>
      </c>
      <c r="N64">
        <v>290</v>
      </c>
      <c r="O64">
        <v>0</v>
      </c>
      <c r="P64">
        <v>0</v>
      </c>
      <c r="Q64">
        <v>5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290</v>
      </c>
      <c r="Z64">
        <v>0</v>
      </c>
      <c r="AA64">
        <v>0</v>
      </c>
      <c r="AB64">
        <v>290</v>
      </c>
      <c r="AC64">
        <v>19</v>
      </c>
      <c r="AD64">
        <v>271</v>
      </c>
      <c r="AE64">
        <v>2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</v>
      </c>
      <c r="AN64">
        <v>0</v>
      </c>
      <c r="AO64">
        <v>0</v>
      </c>
      <c r="AP64">
        <v>2</v>
      </c>
      <c r="AQ64">
        <v>2</v>
      </c>
      <c r="AR64">
        <v>1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0</v>
      </c>
      <c r="BB64">
        <v>2</v>
      </c>
      <c r="BC64">
        <v>26</v>
      </c>
      <c r="BD64">
        <v>9</v>
      </c>
      <c r="BE64">
        <v>2</v>
      </c>
      <c r="BF64">
        <v>7</v>
      </c>
      <c r="BG64">
        <v>3</v>
      </c>
      <c r="BH64">
        <v>1</v>
      </c>
      <c r="BI64">
        <v>1</v>
      </c>
      <c r="BJ64">
        <v>1</v>
      </c>
      <c r="BK64">
        <v>0</v>
      </c>
      <c r="BL64">
        <v>1</v>
      </c>
      <c r="BM64">
        <v>1</v>
      </c>
      <c r="BN64">
        <v>26</v>
      </c>
      <c r="BO64">
        <v>149</v>
      </c>
      <c r="BP64">
        <v>92</v>
      </c>
      <c r="BQ64">
        <v>2</v>
      </c>
      <c r="BR64">
        <v>1</v>
      </c>
      <c r="BS64">
        <v>8</v>
      </c>
      <c r="BT64">
        <v>0</v>
      </c>
      <c r="BU64">
        <v>0</v>
      </c>
      <c r="BV64">
        <v>40</v>
      </c>
      <c r="BW64">
        <v>2</v>
      </c>
      <c r="BX64">
        <v>1</v>
      </c>
      <c r="BY64">
        <v>3</v>
      </c>
      <c r="BZ64">
        <v>149</v>
      </c>
      <c r="CA64">
        <v>5</v>
      </c>
      <c r="CB64">
        <v>4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1</v>
      </c>
      <c r="CK64">
        <v>0</v>
      </c>
      <c r="CL64">
        <v>5</v>
      </c>
      <c r="CM64">
        <v>3</v>
      </c>
      <c r="CN64">
        <v>1</v>
      </c>
      <c r="CO64">
        <v>0</v>
      </c>
      <c r="CP64">
        <v>1</v>
      </c>
      <c r="CQ64">
        <v>1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3</v>
      </c>
      <c r="CY64">
        <v>29</v>
      </c>
      <c r="CZ64">
        <v>12</v>
      </c>
      <c r="DA64">
        <v>4</v>
      </c>
      <c r="DB64">
        <v>1</v>
      </c>
      <c r="DC64">
        <v>4</v>
      </c>
      <c r="DD64">
        <v>0</v>
      </c>
      <c r="DE64">
        <v>0</v>
      </c>
      <c r="DF64">
        <v>3</v>
      </c>
      <c r="DG64">
        <v>1</v>
      </c>
      <c r="DH64">
        <v>3</v>
      </c>
      <c r="DI64">
        <v>1</v>
      </c>
      <c r="DJ64">
        <v>29</v>
      </c>
      <c r="DK64">
        <v>28</v>
      </c>
      <c r="DL64">
        <v>18</v>
      </c>
      <c r="DM64">
        <v>7</v>
      </c>
      <c r="DN64">
        <v>1</v>
      </c>
      <c r="DO64">
        <v>0</v>
      </c>
      <c r="DP64">
        <v>0</v>
      </c>
      <c r="DQ64">
        <v>1</v>
      </c>
      <c r="DR64">
        <v>1</v>
      </c>
      <c r="DS64">
        <v>0</v>
      </c>
      <c r="DT64">
        <v>0</v>
      </c>
      <c r="DU64">
        <v>0</v>
      </c>
      <c r="DV64">
        <v>28</v>
      </c>
      <c r="DW64">
        <v>20</v>
      </c>
      <c r="DX64">
        <v>12</v>
      </c>
      <c r="DY64">
        <v>2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4</v>
      </c>
      <c r="EF64">
        <v>1</v>
      </c>
      <c r="EG64">
        <v>1</v>
      </c>
      <c r="EH64">
        <v>20</v>
      </c>
      <c r="EI64">
        <v>1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</v>
      </c>
      <c r="EP64">
        <v>0</v>
      </c>
      <c r="EQ64">
        <v>0</v>
      </c>
      <c r="ER64">
        <v>1</v>
      </c>
      <c r="ES64">
        <v>1</v>
      </c>
      <c r="ET64">
        <v>0</v>
      </c>
      <c r="EU64">
        <v>0</v>
      </c>
      <c r="EV64">
        <v>0</v>
      </c>
      <c r="EW64">
        <v>1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1</v>
      </c>
      <c r="FE64">
        <v>5</v>
      </c>
      <c r="FF64">
        <v>3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1</v>
      </c>
      <c r="FO64">
        <v>1</v>
      </c>
      <c r="FP64">
        <v>5</v>
      </c>
    </row>
    <row r="65" spans="1:172" ht="14.25">
      <c r="A65">
        <v>60</v>
      </c>
      <c r="B65" t="str">
        <f>"100904"</f>
        <v>100904</v>
      </c>
      <c r="C65" t="str">
        <f>"Pajęczno"</f>
        <v>Pajęczno</v>
      </c>
      <c r="D65" t="str">
        <f t="shared" si="10"/>
        <v>pajęczański</v>
      </c>
      <c r="E65" t="str">
        <f t="shared" si="1"/>
        <v>łódzkie</v>
      </c>
      <c r="F65">
        <v>4</v>
      </c>
      <c r="G65" t="str">
        <f>"Publiczne Gimnazjum w Pajęcznie, Sienkiewicza 7 11, 98-330 Pajęczno"</f>
        <v>Publiczne Gimnazjum w Pajęcznie, Sienkiewicza 7 11, 98-330 Pajęczno</v>
      </c>
      <c r="H65">
        <v>2120</v>
      </c>
      <c r="I65">
        <v>2120</v>
      </c>
      <c r="J65">
        <v>0</v>
      </c>
      <c r="K65">
        <v>1490</v>
      </c>
      <c r="L65">
        <v>1107</v>
      </c>
      <c r="M65">
        <v>383</v>
      </c>
      <c r="N65">
        <v>383</v>
      </c>
      <c r="O65">
        <v>0</v>
      </c>
      <c r="P65">
        <v>0</v>
      </c>
      <c r="Q65">
        <v>3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383</v>
      </c>
      <c r="Z65">
        <v>0</v>
      </c>
      <c r="AA65">
        <v>0</v>
      </c>
      <c r="AB65">
        <v>383</v>
      </c>
      <c r="AC65">
        <v>12</v>
      </c>
      <c r="AD65">
        <v>371</v>
      </c>
      <c r="AE65">
        <v>7</v>
      </c>
      <c r="AF65">
        <v>4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2</v>
      </c>
      <c r="AN65">
        <v>0</v>
      </c>
      <c r="AO65">
        <v>1</v>
      </c>
      <c r="AP65">
        <v>7</v>
      </c>
      <c r="AQ65">
        <v>8</v>
      </c>
      <c r="AR65">
        <v>4</v>
      </c>
      <c r="AS65">
        <v>1</v>
      </c>
      <c r="AT65">
        <v>0</v>
      </c>
      <c r="AU65">
        <v>0</v>
      </c>
      <c r="AV65">
        <v>1</v>
      </c>
      <c r="AW65">
        <v>0</v>
      </c>
      <c r="AX65">
        <v>0</v>
      </c>
      <c r="AY65">
        <v>2</v>
      </c>
      <c r="AZ65">
        <v>0</v>
      </c>
      <c r="BA65">
        <v>0</v>
      </c>
      <c r="BB65">
        <v>8</v>
      </c>
      <c r="BC65">
        <v>37</v>
      </c>
      <c r="BD65">
        <v>27</v>
      </c>
      <c r="BE65">
        <v>1</v>
      </c>
      <c r="BF65">
        <v>4</v>
      </c>
      <c r="BG65">
        <v>1</v>
      </c>
      <c r="BH65">
        <v>0</v>
      </c>
      <c r="BI65">
        <v>0</v>
      </c>
      <c r="BJ65">
        <v>0</v>
      </c>
      <c r="BK65">
        <v>0</v>
      </c>
      <c r="BL65">
        <v>2</v>
      </c>
      <c r="BM65">
        <v>2</v>
      </c>
      <c r="BN65">
        <v>37</v>
      </c>
      <c r="BO65">
        <v>165</v>
      </c>
      <c r="BP65">
        <v>95</v>
      </c>
      <c r="BQ65">
        <v>2</v>
      </c>
      <c r="BR65">
        <v>8</v>
      </c>
      <c r="BS65">
        <v>3</v>
      </c>
      <c r="BT65">
        <v>0</v>
      </c>
      <c r="BU65">
        <v>0</v>
      </c>
      <c r="BV65">
        <v>53</v>
      </c>
      <c r="BW65">
        <v>0</v>
      </c>
      <c r="BX65">
        <v>0</v>
      </c>
      <c r="BY65">
        <v>4</v>
      </c>
      <c r="BZ65">
        <v>165</v>
      </c>
      <c r="CA65">
        <v>5</v>
      </c>
      <c r="CB65">
        <v>1</v>
      </c>
      <c r="CC65">
        <v>1</v>
      </c>
      <c r="CD65">
        <v>3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5</v>
      </c>
      <c r="CM65">
        <v>3</v>
      </c>
      <c r="CN65">
        <v>1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2</v>
      </c>
      <c r="CX65">
        <v>3</v>
      </c>
      <c r="CY65">
        <v>26</v>
      </c>
      <c r="CZ65">
        <v>13</v>
      </c>
      <c r="DA65">
        <v>4</v>
      </c>
      <c r="DB65">
        <v>0</v>
      </c>
      <c r="DC65">
        <v>1</v>
      </c>
      <c r="DD65">
        <v>0</v>
      </c>
      <c r="DE65">
        <v>2</v>
      </c>
      <c r="DF65">
        <v>4</v>
      </c>
      <c r="DG65">
        <v>2</v>
      </c>
      <c r="DH65">
        <v>0</v>
      </c>
      <c r="DI65">
        <v>0</v>
      </c>
      <c r="DJ65">
        <v>26</v>
      </c>
      <c r="DK65">
        <v>88</v>
      </c>
      <c r="DL65">
        <v>65</v>
      </c>
      <c r="DM65">
        <v>13</v>
      </c>
      <c r="DN65">
        <v>1</v>
      </c>
      <c r="DO65">
        <v>2</v>
      </c>
      <c r="DP65">
        <v>1</v>
      </c>
      <c r="DQ65">
        <v>0</v>
      </c>
      <c r="DR65">
        <v>2</v>
      </c>
      <c r="DS65">
        <v>1</v>
      </c>
      <c r="DT65">
        <v>1</v>
      </c>
      <c r="DU65">
        <v>2</v>
      </c>
      <c r="DV65">
        <v>88</v>
      </c>
      <c r="DW65">
        <v>30</v>
      </c>
      <c r="DX65">
        <v>17</v>
      </c>
      <c r="DY65">
        <v>2</v>
      </c>
      <c r="DZ65">
        <v>0</v>
      </c>
      <c r="EA65">
        <v>1</v>
      </c>
      <c r="EB65">
        <v>1</v>
      </c>
      <c r="EC65">
        <v>3</v>
      </c>
      <c r="ED65">
        <v>1</v>
      </c>
      <c r="EE65">
        <v>4</v>
      </c>
      <c r="EF65">
        <v>0</v>
      </c>
      <c r="EG65">
        <v>1</v>
      </c>
      <c r="EH65">
        <v>30</v>
      </c>
      <c r="EI65">
        <v>2</v>
      </c>
      <c r="EJ65">
        <v>1</v>
      </c>
      <c r="EK65">
        <v>1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2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</row>
    <row r="66" spans="1:172" ht="14.25">
      <c r="A66">
        <v>61</v>
      </c>
      <c r="B66" t="str">
        <f>"100904"</f>
        <v>100904</v>
      </c>
      <c r="C66" t="str">
        <f>"Pajęczno"</f>
        <v>Pajęczno</v>
      </c>
      <c r="D66" t="str">
        <f t="shared" si="10"/>
        <v>pajęczański</v>
      </c>
      <c r="E66" t="str">
        <f t="shared" si="1"/>
        <v>łódzkie</v>
      </c>
      <c r="F66">
        <v>5</v>
      </c>
      <c r="G66" t="str">
        <f>"Biblioteka Miejska w Pajęcznie, Wiśniowa 5, 98-330 Pajęczno"</f>
        <v>Biblioteka Miejska w Pajęcznie, Wiśniowa 5, 98-330 Pajęczno</v>
      </c>
      <c r="H66">
        <v>2023</v>
      </c>
      <c r="I66">
        <v>2023</v>
      </c>
      <c r="J66">
        <v>0</v>
      </c>
      <c r="K66">
        <v>1428</v>
      </c>
      <c r="L66">
        <v>1073</v>
      </c>
      <c r="M66">
        <v>355</v>
      </c>
      <c r="N66">
        <v>355</v>
      </c>
      <c r="O66">
        <v>0</v>
      </c>
      <c r="P66">
        <v>0</v>
      </c>
      <c r="Q66">
        <v>4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355</v>
      </c>
      <c r="Z66">
        <v>0</v>
      </c>
      <c r="AA66">
        <v>0</v>
      </c>
      <c r="AB66">
        <v>355</v>
      </c>
      <c r="AC66">
        <v>11</v>
      </c>
      <c r="AD66">
        <v>344</v>
      </c>
      <c r="AE66">
        <v>2</v>
      </c>
      <c r="AF66">
        <v>2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2</v>
      </c>
      <c r="AQ66">
        <v>1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0</v>
      </c>
      <c r="AZ66">
        <v>0</v>
      </c>
      <c r="BA66">
        <v>0</v>
      </c>
      <c r="BB66">
        <v>1</v>
      </c>
      <c r="BC66">
        <v>16</v>
      </c>
      <c r="BD66">
        <v>9</v>
      </c>
      <c r="BE66">
        <v>1</v>
      </c>
      <c r="BF66">
        <v>1</v>
      </c>
      <c r="BG66">
        <v>2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3</v>
      </c>
      <c r="BN66">
        <v>16</v>
      </c>
      <c r="BO66">
        <v>189</v>
      </c>
      <c r="BP66">
        <v>116</v>
      </c>
      <c r="BQ66">
        <v>7</v>
      </c>
      <c r="BR66">
        <v>2</v>
      </c>
      <c r="BS66">
        <v>3</v>
      </c>
      <c r="BT66">
        <v>1</v>
      </c>
      <c r="BU66">
        <v>0</v>
      </c>
      <c r="BV66">
        <v>55</v>
      </c>
      <c r="BW66">
        <v>1</v>
      </c>
      <c r="BX66">
        <v>1</v>
      </c>
      <c r="BY66">
        <v>3</v>
      </c>
      <c r="BZ66">
        <v>189</v>
      </c>
      <c r="CA66">
        <v>10</v>
      </c>
      <c r="CB66">
        <v>0</v>
      </c>
      <c r="CC66">
        <v>3</v>
      </c>
      <c r="CD66">
        <v>3</v>
      </c>
      <c r="CE66">
        <v>1</v>
      </c>
      <c r="CF66">
        <v>1</v>
      </c>
      <c r="CG66">
        <v>0</v>
      </c>
      <c r="CH66">
        <v>1</v>
      </c>
      <c r="CI66">
        <v>0</v>
      </c>
      <c r="CJ66">
        <v>1</v>
      </c>
      <c r="CK66">
        <v>0</v>
      </c>
      <c r="CL66">
        <v>10</v>
      </c>
      <c r="CM66">
        <v>8</v>
      </c>
      <c r="CN66">
        <v>5</v>
      </c>
      <c r="CO66">
        <v>3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8</v>
      </c>
      <c r="CY66">
        <v>33</v>
      </c>
      <c r="CZ66">
        <v>23</v>
      </c>
      <c r="DA66">
        <v>1</v>
      </c>
      <c r="DB66">
        <v>2</v>
      </c>
      <c r="DC66">
        <v>0</v>
      </c>
      <c r="DD66">
        <v>1</v>
      </c>
      <c r="DE66">
        <v>0</v>
      </c>
      <c r="DF66">
        <v>2</v>
      </c>
      <c r="DG66">
        <v>3</v>
      </c>
      <c r="DH66">
        <v>0</v>
      </c>
      <c r="DI66">
        <v>1</v>
      </c>
      <c r="DJ66">
        <v>33</v>
      </c>
      <c r="DK66">
        <v>70</v>
      </c>
      <c r="DL66">
        <v>34</v>
      </c>
      <c r="DM66">
        <v>17</v>
      </c>
      <c r="DN66">
        <v>0</v>
      </c>
      <c r="DO66">
        <v>11</v>
      </c>
      <c r="DP66">
        <v>5</v>
      </c>
      <c r="DQ66">
        <v>0</v>
      </c>
      <c r="DR66">
        <v>1</v>
      </c>
      <c r="DS66">
        <v>0</v>
      </c>
      <c r="DT66">
        <v>0</v>
      </c>
      <c r="DU66">
        <v>2</v>
      </c>
      <c r="DV66">
        <v>70</v>
      </c>
      <c r="DW66">
        <v>11</v>
      </c>
      <c r="DX66">
        <v>8</v>
      </c>
      <c r="DY66">
        <v>1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2</v>
      </c>
      <c r="EH66">
        <v>11</v>
      </c>
      <c r="EI66">
        <v>3</v>
      </c>
      <c r="EJ66">
        <v>0</v>
      </c>
      <c r="EK66">
        <v>2</v>
      </c>
      <c r="EL66">
        <v>0</v>
      </c>
      <c r="EM66">
        <v>0</v>
      </c>
      <c r="EN66">
        <v>0</v>
      </c>
      <c r="EO66">
        <v>0</v>
      </c>
      <c r="EP66">
        <v>1</v>
      </c>
      <c r="EQ66">
        <v>0</v>
      </c>
      <c r="ER66">
        <v>3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1</v>
      </c>
      <c r="FP66">
        <v>1</v>
      </c>
    </row>
    <row r="67" spans="1:172" ht="14.25">
      <c r="A67">
        <v>62</v>
      </c>
      <c r="B67" t="str">
        <f>"100905"</f>
        <v>100905</v>
      </c>
      <c r="C67" t="str">
        <f>"Rząśnia"</f>
        <v>Rząśnia</v>
      </c>
      <c r="D67" t="str">
        <f t="shared" si="10"/>
        <v>pajęczański</v>
      </c>
      <c r="E67" t="str">
        <f t="shared" si="1"/>
        <v>łódzkie</v>
      </c>
      <c r="F67">
        <v>1</v>
      </c>
      <c r="G67" t="str">
        <f>"Urząd Gminy w Rząśni, Kościuszki 16, 98-332 Rząśnia"</f>
        <v>Urząd Gminy w Rząśni, Kościuszki 16, 98-332 Rząśnia</v>
      </c>
      <c r="H67">
        <v>1553</v>
      </c>
      <c r="I67">
        <v>1553</v>
      </c>
      <c r="J67">
        <v>0</v>
      </c>
      <c r="K67">
        <v>1084</v>
      </c>
      <c r="L67">
        <v>780</v>
      </c>
      <c r="M67">
        <v>304</v>
      </c>
      <c r="N67">
        <v>304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304</v>
      </c>
      <c r="Z67">
        <v>0</v>
      </c>
      <c r="AA67">
        <v>0</v>
      </c>
      <c r="AB67">
        <v>304</v>
      </c>
      <c r="AC67">
        <v>17</v>
      </c>
      <c r="AD67">
        <v>287</v>
      </c>
      <c r="AE67">
        <v>5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1</v>
      </c>
      <c r="AL67">
        <v>1</v>
      </c>
      <c r="AM67">
        <v>1</v>
      </c>
      <c r="AN67">
        <v>1</v>
      </c>
      <c r="AO67">
        <v>0</v>
      </c>
      <c r="AP67">
        <v>5</v>
      </c>
      <c r="AQ67">
        <v>5</v>
      </c>
      <c r="AR67">
        <v>1</v>
      </c>
      <c r="AS67">
        <v>1</v>
      </c>
      <c r="AT67">
        <v>0</v>
      </c>
      <c r="AU67">
        <v>0</v>
      </c>
      <c r="AV67">
        <v>1</v>
      </c>
      <c r="AW67">
        <v>0</v>
      </c>
      <c r="AX67">
        <v>1</v>
      </c>
      <c r="AY67">
        <v>0</v>
      </c>
      <c r="AZ67">
        <v>1</v>
      </c>
      <c r="BA67">
        <v>0</v>
      </c>
      <c r="BB67">
        <v>5</v>
      </c>
      <c r="BC67">
        <v>19</v>
      </c>
      <c r="BD67">
        <v>9</v>
      </c>
      <c r="BE67">
        <v>1</v>
      </c>
      <c r="BF67">
        <v>2</v>
      </c>
      <c r="BG67">
        <v>0</v>
      </c>
      <c r="BH67">
        <v>1</v>
      </c>
      <c r="BI67">
        <v>3</v>
      </c>
      <c r="BJ67">
        <v>0</v>
      </c>
      <c r="BK67">
        <v>0</v>
      </c>
      <c r="BL67">
        <v>2</v>
      </c>
      <c r="BM67">
        <v>1</v>
      </c>
      <c r="BN67">
        <v>19</v>
      </c>
      <c r="BO67">
        <v>169</v>
      </c>
      <c r="BP67">
        <v>125</v>
      </c>
      <c r="BQ67">
        <v>3</v>
      </c>
      <c r="BR67">
        <v>0</v>
      </c>
      <c r="BS67">
        <v>8</v>
      </c>
      <c r="BT67">
        <v>0</v>
      </c>
      <c r="BU67">
        <v>0</v>
      </c>
      <c r="BV67">
        <v>29</v>
      </c>
      <c r="BW67">
        <v>0</v>
      </c>
      <c r="BX67">
        <v>2</v>
      </c>
      <c r="BY67">
        <v>2</v>
      </c>
      <c r="BZ67">
        <v>169</v>
      </c>
      <c r="CA67">
        <v>3</v>
      </c>
      <c r="CB67">
        <v>0</v>
      </c>
      <c r="CC67">
        <v>1</v>
      </c>
      <c r="CD67">
        <v>1</v>
      </c>
      <c r="CE67">
        <v>0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3</v>
      </c>
      <c r="CM67">
        <v>8</v>
      </c>
      <c r="CN67">
        <v>5</v>
      </c>
      <c r="CO67">
        <v>1</v>
      </c>
      <c r="CP67">
        <v>0</v>
      </c>
      <c r="CQ67">
        <v>1</v>
      </c>
      <c r="CR67">
        <v>1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8</v>
      </c>
      <c r="CY67">
        <v>21</v>
      </c>
      <c r="CZ67">
        <v>13</v>
      </c>
      <c r="DA67">
        <v>2</v>
      </c>
      <c r="DB67">
        <v>0</v>
      </c>
      <c r="DC67">
        <v>0</v>
      </c>
      <c r="DD67">
        <v>0</v>
      </c>
      <c r="DE67">
        <v>0</v>
      </c>
      <c r="DF67">
        <v>1</v>
      </c>
      <c r="DG67">
        <v>2</v>
      </c>
      <c r="DH67">
        <v>2</v>
      </c>
      <c r="DI67">
        <v>1</v>
      </c>
      <c r="DJ67">
        <v>21</v>
      </c>
      <c r="DK67">
        <v>20</v>
      </c>
      <c r="DL67">
        <v>12</v>
      </c>
      <c r="DM67">
        <v>4</v>
      </c>
      <c r="DN67">
        <v>0</v>
      </c>
      <c r="DO67">
        <v>0</v>
      </c>
      <c r="DP67">
        <v>2</v>
      </c>
      <c r="DQ67">
        <v>0</v>
      </c>
      <c r="DR67">
        <v>0</v>
      </c>
      <c r="DS67">
        <v>2</v>
      </c>
      <c r="DT67">
        <v>0</v>
      </c>
      <c r="DU67">
        <v>0</v>
      </c>
      <c r="DV67">
        <v>20</v>
      </c>
      <c r="DW67">
        <v>31</v>
      </c>
      <c r="DX67">
        <v>8</v>
      </c>
      <c r="DY67">
        <v>3</v>
      </c>
      <c r="DZ67">
        <v>0</v>
      </c>
      <c r="EA67">
        <v>0</v>
      </c>
      <c r="EB67">
        <v>3</v>
      </c>
      <c r="EC67">
        <v>2</v>
      </c>
      <c r="ED67">
        <v>1</v>
      </c>
      <c r="EE67">
        <v>1</v>
      </c>
      <c r="EF67">
        <v>0</v>
      </c>
      <c r="EG67">
        <v>13</v>
      </c>
      <c r="EH67">
        <v>31</v>
      </c>
      <c r="EI67">
        <v>1</v>
      </c>
      <c r="EJ67">
        <v>0</v>
      </c>
      <c r="EK67">
        <v>1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</v>
      </c>
      <c r="ES67">
        <v>4</v>
      </c>
      <c r="ET67">
        <v>0</v>
      </c>
      <c r="EU67">
        <v>2</v>
      </c>
      <c r="EV67">
        <v>0</v>
      </c>
      <c r="EW67">
        <v>0</v>
      </c>
      <c r="EX67">
        <v>0</v>
      </c>
      <c r="EY67">
        <v>1</v>
      </c>
      <c r="EZ67">
        <v>0</v>
      </c>
      <c r="FA67">
        <v>0</v>
      </c>
      <c r="FB67">
        <v>0</v>
      </c>
      <c r="FC67">
        <v>1</v>
      </c>
      <c r="FD67">
        <v>4</v>
      </c>
      <c r="FE67">
        <v>1</v>
      </c>
      <c r="FF67">
        <v>0</v>
      </c>
      <c r="FG67">
        <v>1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1</v>
      </c>
    </row>
    <row r="68" spans="1:172" ht="14.25">
      <c r="A68">
        <v>63</v>
      </c>
      <c r="B68" t="str">
        <f>"100905"</f>
        <v>100905</v>
      </c>
      <c r="C68" t="str">
        <f>"Rząśnia"</f>
        <v>Rząśnia</v>
      </c>
      <c r="D68" t="str">
        <f t="shared" si="10"/>
        <v>pajęczański</v>
      </c>
      <c r="E68" t="str">
        <f t="shared" si="1"/>
        <v>łódzkie</v>
      </c>
      <c r="F68">
        <v>2</v>
      </c>
      <c r="G68" t="str">
        <f>"Szkoła Podstawowa w Białej, Biała 63, 98-332 Rząśnia"</f>
        <v>Szkoła Podstawowa w Białej, Biała 63, 98-332 Rząśnia</v>
      </c>
      <c r="H68">
        <v>754</v>
      </c>
      <c r="I68">
        <v>754</v>
      </c>
      <c r="J68">
        <v>0</v>
      </c>
      <c r="K68">
        <v>528</v>
      </c>
      <c r="L68">
        <v>408</v>
      </c>
      <c r="M68">
        <v>120</v>
      </c>
      <c r="N68">
        <v>120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120</v>
      </c>
      <c r="Z68">
        <v>0</v>
      </c>
      <c r="AA68">
        <v>0</v>
      </c>
      <c r="AB68">
        <v>120</v>
      </c>
      <c r="AC68">
        <v>6</v>
      </c>
      <c r="AD68">
        <v>114</v>
      </c>
      <c r="AE68">
        <v>4</v>
      </c>
      <c r="AF68">
        <v>1</v>
      </c>
      <c r="AG68">
        <v>3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4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10</v>
      </c>
      <c r="BD68">
        <v>6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4</v>
      </c>
      <c r="BN68">
        <v>10</v>
      </c>
      <c r="BO68">
        <v>60</v>
      </c>
      <c r="BP68">
        <v>41</v>
      </c>
      <c r="BQ68">
        <v>2</v>
      </c>
      <c r="BR68">
        <v>0</v>
      </c>
      <c r="BS68">
        <v>1</v>
      </c>
      <c r="BT68">
        <v>0</v>
      </c>
      <c r="BU68">
        <v>0</v>
      </c>
      <c r="BV68">
        <v>10</v>
      </c>
      <c r="BW68">
        <v>1</v>
      </c>
      <c r="BX68">
        <v>1</v>
      </c>
      <c r="BY68">
        <v>4</v>
      </c>
      <c r="BZ68">
        <v>60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8</v>
      </c>
      <c r="CZ68">
        <v>5</v>
      </c>
      <c r="DA68">
        <v>3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8</v>
      </c>
      <c r="DK68">
        <v>20</v>
      </c>
      <c r="DL68">
        <v>15</v>
      </c>
      <c r="DM68">
        <v>1</v>
      </c>
      <c r="DN68">
        <v>0</v>
      </c>
      <c r="DO68">
        <v>0</v>
      </c>
      <c r="DP68">
        <v>0</v>
      </c>
      <c r="DQ68">
        <v>0</v>
      </c>
      <c r="DR68">
        <v>3</v>
      </c>
      <c r="DS68">
        <v>0</v>
      </c>
      <c r="DT68">
        <v>0</v>
      </c>
      <c r="DU68">
        <v>1</v>
      </c>
      <c r="DV68">
        <v>20</v>
      </c>
      <c r="DW68">
        <v>11</v>
      </c>
      <c r="DX68">
        <v>2</v>
      </c>
      <c r="DY68">
        <v>1</v>
      </c>
      <c r="DZ68">
        <v>0</v>
      </c>
      <c r="EA68">
        <v>0</v>
      </c>
      <c r="EB68">
        <v>1</v>
      </c>
      <c r="EC68">
        <v>0</v>
      </c>
      <c r="ED68">
        <v>1</v>
      </c>
      <c r="EE68">
        <v>0</v>
      </c>
      <c r="EF68">
        <v>5</v>
      </c>
      <c r="EG68">
        <v>1</v>
      </c>
      <c r="EH68">
        <v>11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1</v>
      </c>
      <c r="FP68">
        <v>1</v>
      </c>
    </row>
    <row r="69" spans="1:172" ht="14.25">
      <c r="A69">
        <v>64</v>
      </c>
      <c r="B69" t="str">
        <f>"100905"</f>
        <v>100905</v>
      </c>
      <c r="C69" t="str">
        <f>"Rząśnia"</f>
        <v>Rząśnia</v>
      </c>
      <c r="D69" t="str">
        <f t="shared" si="10"/>
        <v>pajęczański</v>
      </c>
      <c r="E69" t="str">
        <f t="shared" si="1"/>
        <v>łódzkie</v>
      </c>
      <c r="F69">
        <v>3</v>
      </c>
      <c r="G69" t="str">
        <f>"Szkoła Podstawowa w Broszęcinie, Kolonia Broszęcin 9, 98-332 Rząśnia"</f>
        <v>Szkoła Podstawowa w Broszęcinie, Kolonia Broszęcin 9, 98-332 Rząśnia</v>
      </c>
      <c r="H69">
        <v>369</v>
      </c>
      <c r="I69">
        <v>369</v>
      </c>
      <c r="J69">
        <v>0</v>
      </c>
      <c r="K69">
        <v>260</v>
      </c>
      <c r="L69">
        <v>197</v>
      </c>
      <c r="M69">
        <v>63</v>
      </c>
      <c r="N69">
        <v>63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63</v>
      </c>
      <c r="Z69">
        <v>0</v>
      </c>
      <c r="AA69">
        <v>0</v>
      </c>
      <c r="AB69">
        <v>63</v>
      </c>
      <c r="AC69">
        <v>1</v>
      </c>
      <c r="AD69">
        <v>62</v>
      </c>
      <c r="AE69">
        <v>2</v>
      </c>
      <c r="AF69">
        <v>0</v>
      </c>
      <c r="AG69">
        <v>0</v>
      </c>
      <c r="AH69">
        <v>2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2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3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2</v>
      </c>
      <c r="BK69">
        <v>0</v>
      </c>
      <c r="BL69">
        <v>0</v>
      </c>
      <c r="BM69">
        <v>0</v>
      </c>
      <c r="BN69">
        <v>3</v>
      </c>
      <c r="BO69">
        <v>31</v>
      </c>
      <c r="BP69">
        <v>21</v>
      </c>
      <c r="BQ69">
        <v>1</v>
      </c>
      <c r="BR69">
        <v>1</v>
      </c>
      <c r="BS69">
        <v>3</v>
      </c>
      <c r="BT69">
        <v>0</v>
      </c>
      <c r="BU69">
        <v>1</v>
      </c>
      <c r="BV69">
        <v>2</v>
      </c>
      <c r="BW69">
        <v>1</v>
      </c>
      <c r="BX69">
        <v>0</v>
      </c>
      <c r="BY69">
        <v>1</v>
      </c>
      <c r="BZ69">
        <v>31</v>
      </c>
      <c r="CA69">
        <v>1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5</v>
      </c>
      <c r="CZ69">
        <v>5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5</v>
      </c>
      <c r="DK69">
        <v>6</v>
      </c>
      <c r="DL69">
        <v>1</v>
      </c>
      <c r="DM69">
        <v>1</v>
      </c>
      <c r="DN69">
        <v>0</v>
      </c>
      <c r="DO69">
        <v>4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6</v>
      </c>
      <c r="DW69">
        <v>13</v>
      </c>
      <c r="DX69">
        <v>4</v>
      </c>
      <c r="DY69">
        <v>2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7</v>
      </c>
      <c r="EH69">
        <v>13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1</v>
      </c>
      <c r="ET69">
        <v>1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</row>
    <row r="70" spans="1:172" ht="14.25">
      <c r="A70">
        <v>65</v>
      </c>
      <c r="B70" t="str">
        <f>"100905"</f>
        <v>100905</v>
      </c>
      <c r="C70" t="str">
        <f>"Rząśnia"</f>
        <v>Rząśnia</v>
      </c>
      <c r="D70" t="str">
        <f t="shared" si="10"/>
        <v>pajęczański</v>
      </c>
      <c r="E70" t="str">
        <f aca="true" t="shared" si="11" ref="E70:E133">"łódzkie"</f>
        <v>łódzkie</v>
      </c>
      <c r="F70">
        <v>4</v>
      </c>
      <c r="G70" t="str">
        <f>"Szkoła Podstawowa w Stróży, Stróża 41, 98-332 Rząśnia"</f>
        <v>Szkoła Podstawowa w Stróży, Stróża 41, 98-332 Rząśnia</v>
      </c>
      <c r="H70">
        <v>350</v>
      </c>
      <c r="I70">
        <v>350</v>
      </c>
      <c r="J70">
        <v>0</v>
      </c>
      <c r="K70">
        <v>238</v>
      </c>
      <c r="L70">
        <v>146</v>
      </c>
      <c r="M70">
        <v>92</v>
      </c>
      <c r="N70">
        <v>92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92</v>
      </c>
      <c r="Z70">
        <v>0</v>
      </c>
      <c r="AA70">
        <v>0</v>
      </c>
      <c r="AB70">
        <v>92</v>
      </c>
      <c r="AC70">
        <v>2</v>
      </c>
      <c r="AD70">
        <v>90</v>
      </c>
      <c r="AE70">
        <v>2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  <c r="AN70">
        <v>0</v>
      </c>
      <c r="AO70">
        <v>1</v>
      </c>
      <c r="AP70">
        <v>2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54</v>
      </c>
      <c r="BP70">
        <v>40</v>
      </c>
      <c r="BQ70">
        <v>0</v>
      </c>
      <c r="BR70">
        <v>4</v>
      </c>
      <c r="BS70">
        <v>4</v>
      </c>
      <c r="BT70">
        <v>0</v>
      </c>
      <c r="BU70">
        <v>0</v>
      </c>
      <c r="BV70">
        <v>2</v>
      </c>
      <c r="BW70">
        <v>1</v>
      </c>
      <c r="BX70">
        <v>1</v>
      </c>
      <c r="BY70">
        <v>2</v>
      </c>
      <c r="BZ70">
        <v>54</v>
      </c>
      <c r="CA70">
        <v>1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1</v>
      </c>
      <c r="CM70">
        <v>1</v>
      </c>
      <c r="CN70">
        <v>1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1</v>
      </c>
      <c r="CY70">
        <v>13</v>
      </c>
      <c r="CZ70">
        <v>1</v>
      </c>
      <c r="DA70">
        <v>1</v>
      </c>
      <c r="DB70">
        <v>1</v>
      </c>
      <c r="DC70">
        <v>0</v>
      </c>
      <c r="DD70">
        <v>0</v>
      </c>
      <c r="DE70">
        <v>0</v>
      </c>
      <c r="DF70">
        <v>0</v>
      </c>
      <c r="DG70">
        <v>5</v>
      </c>
      <c r="DH70">
        <v>1</v>
      </c>
      <c r="DI70">
        <v>4</v>
      </c>
      <c r="DJ70">
        <v>13</v>
      </c>
      <c r="DK70">
        <v>10</v>
      </c>
      <c r="DL70">
        <v>6</v>
      </c>
      <c r="DM70">
        <v>1</v>
      </c>
      <c r="DN70">
        <v>0</v>
      </c>
      <c r="DO70">
        <v>1</v>
      </c>
      <c r="DP70">
        <v>2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10</v>
      </c>
      <c r="DW70">
        <v>8</v>
      </c>
      <c r="DX70">
        <v>2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3</v>
      </c>
      <c r="EG70">
        <v>3</v>
      </c>
      <c r="EH70">
        <v>8</v>
      </c>
      <c r="EI70">
        <v>1</v>
      </c>
      <c r="EJ70">
        <v>1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1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</row>
    <row r="71" spans="1:172" ht="14.25">
      <c r="A71">
        <v>66</v>
      </c>
      <c r="B71" t="str">
        <f>"100905"</f>
        <v>100905</v>
      </c>
      <c r="C71" t="str">
        <f>"Rząśnia"</f>
        <v>Rząśnia</v>
      </c>
      <c r="D71" t="str">
        <f t="shared" si="10"/>
        <v>pajęczański</v>
      </c>
      <c r="E71" t="str">
        <f t="shared" si="11"/>
        <v>łódzkie</v>
      </c>
      <c r="F71">
        <v>5</v>
      </c>
      <c r="G71" t="str">
        <f>"Remiza Ochotniczej Straży Pożarnej w Suchowoli, Suchowola 32, 98-332 Rząśnia"</f>
        <v>Remiza Ochotniczej Straży Pożarnej w Suchowoli, Suchowola 32, 98-332 Rząśnia</v>
      </c>
      <c r="H71">
        <v>888</v>
      </c>
      <c r="I71">
        <v>888</v>
      </c>
      <c r="J71">
        <v>0</v>
      </c>
      <c r="K71">
        <v>618</v>
      </c>
      <c r="L71">
        <v>520</v>
      </c>
      <c r="M71">
        <v>98</v>
      </c>
      <c r="N71">
        <v>98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98</v>
      </c>
      <c r="Z71">
        <v>0</v>
      </c>
      <c r="AA71">
        <v>0</v>
      </c>
      <c r="AB71">
        <v>98</v>
      </c>
      <c r="AC71">
        <v>5</v>
      </c>
      <c r="AD71">
        <v>93</v>
      </c>
      <c r="AE71">
        <v>7</v>
      </c>
      <c r="AF71">
        <v>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2</v>
      </c>
      <c r="AN71">
        <v>0</v>
      </c>
      <c r="AO71">
        <v>0</v>
      </c>
      <c r="AP71">
        <v>7</v>
      </c>
      <c r="AQ71">
        <v>2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2</v>
      </c>
      <c r="BC71">
        <v>13</v>
      </c>
      <c r="BD71">
        <v>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6</v>
      </c>
      <c r="BK71">
        <v>0</v>
      </c>
      <c r="BL71">
        <v>0</v>
      </c>
      <c r="BM71">
        <v>1</v>
      </c>
      <c r="BN71">
        <v>13</v>
      </c>
      <c r="BO71">
        <v>27</v>
      </c>
      <c r="BP71">
        <v>15</v>
      </c>
      <c r="BQ71">
        <v>1</v>
      </c>
      <c r="BR71">
        <v>0</v>
      </c>
      <c r="BS71">
        <v>4</v>
      </c>
      <c r="BT71">
        <v>0</v>
      </c>
      <c r="BU71">
        <v>0</v>
      </c>
      <c r="BV71">
        <v>5</v>
      </c>
      <c r="BW71">
        <v>0</v>
      </c>
      <c r="BX71">
        <v>0</v>
      </c>
      <c r="BY71">
        <v>2</v>
      </c>
      <c r="BZ71">
        <v>27</v>
      </c>
      <c r="CA71">
        <v>4</v>
      </c>
      <c r="CB71">
        <v>0</v>
      </c>
      <c r="CC71">
        <v>1</v>
      </c>
      <c r="CD71">
        <v>0</v>
      </c>
      <c r="CE71">
        <v>2</v>
      </c>
      <c r="CF71">
        <v>1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4</v>
      </c>
      <c r="CM71">
        <v>2</v>
      </c>
      <c r="CN71">
        <v>1</v>
      </c>
      <c r="CO71">
        <v>1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2</v>
      </c>
      <c r="CY71">
        <v>5</v>
      </c>
      <c r="CZ71">
        <v>4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1</v>
      </c>
      <c r="DH71">
        <v>0</v>
      </c>
      <c r="DI71">
        <v>0</v>
      </c>
      <c r="DJ71">
        <v>5</v>
      </c>
      <c r="DK71">
        <v>8</v>
      </c>
      <c r="DL71">
        <v>4</v>
      </c>
      <c r="DM71">
        <v>3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0</v>
      </c>
      <c r="DU71">
        <v>0</v>
      </c>
      <c r="DV71">
        <v>8</v>
      </c>
      <c r="DW71">
        <v>23</v>
      </c>
      <c r="DX71">
        <v>10</v>
      </c>
      <c r="DY71">
        <v>1</v>
      </c>
      <c r="DZ71">
        <v>0</v>
      </c>
      <c r="EA71">
        <v>2</v>
      </c>
      <c r="EB71">
        <v>1</v>
      </c>
      <c r="EC71">
        <v>0</v>
      </c>
      <c r="ED71">
        <v>0</v>
      </c>
      <c r="EE71">
        <v>0</v>
      </c>
      <c r="EF71">
        <v>3</v>
      </c>
      <c r="EG71">
        <v>6</v>
      </c>
      <c r="EH71">
        <v>23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2</v>
      </c>
      <c r="ET71">
        <v>2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2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</row>
    <row r="72" spans="1:172" ht="14.25">
      <c r="A72">
        <v>67</v>
      </c>
      <c r="B72" t="str">
        <f>"100906"</f>
        <v>100906</v>
      </c>
      <c r="C72" t="str">
        <f>"Siemkowice"</f>
        <v>Siemkowice</v>
      </c>
      <c r="D72" t="str">
        <f t="shared" si="10"/>
        <v>pajęczański</v>
      </c>
      <c r="E72" t="str">
        <f t="shared" si="11"/>
        <v>łódzkie</v>
      </c>
      <c r="F72">
        <v>1</v>
      </c>
      <c r="G72" t="str">
        <f>"Szkoła Podstawowa w Siemkowicach, Nowa 1, 98-354 Siemkowice"</f>
        <v>Szkoła Podstawowa w Siemkowicach, Nowa 1, 98-354 Siemkowice</v>
      </c>
      <c r="H72">
        <v>1015</v>
      </c>
      <c r="I72">
        <v>1015</v>
      </c>
      <c r="J72">
        <v>0</v>
      </c>
      <c r="K72">
        <v>710</v>
      </c>
      <c r="L72">
        <v>540</v>
      </c>
      <c r="M72">
        <v>170</v>
      </c>
      <c r="N72">
        <v>170</v>
      </c>
      <c r="O72">
        <v>0</v>
      </c>
      <c r="P72">
        <v>0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170</v>
      </c>
      <c r="Z72">
        <v>0</v>
      </c>
      <c r="AA72">
        <v>0</v>
      </c>
      <c r="AB72">
        <v>170</v>
      </c>
      <c r="AC72">
        <v>6</v>
      </c>
      <c r="AD72">
        <v>164</v>
      </c>
      <c r="AE72">
        <v>3</v>
      </c>
      <c r="AF72">
        <v>1</v>
      </c>
      <c r="AG72">
        <v>1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1</v>
      </c>
      <c r="AY72">
        <v>0</v>
      </c>
      <c r="AZ72">
        <v>0</v>
      </c>
      <c r="BA72">
        <v>0</v>
      </c>
      <c r="BB72">
        <v>1</v>
      </c>
      <c r="BC72">
        <v>12</v>
      </c>
      <c r="BD72">
        <v>2</v>
      </c>
      <c r="BE72">
        <v>4</v>
      </c>
      <c r="BF72">
        <v>3</v>
      </c>
      <c r="BG72">
        <v>1</v>
      </c>
      <c r="BH72">
        <v>0</v>
      </c>
      <c r="BI72">
        <v>0</v>
      </c>
      <c r="BJ72">
        <v>0</v>
      </c>
      <c r="BK72">
        <v>0</v>
      </c>
      <c r="BL72">
        <v>2</v>
      </c>
      <c r="BM72">
        <v>0</v>
      </c>
      <c r="BN72">
        <v>12</v>
      </c>
      <c r="BO72">
        <v>43</v>
      </c>
      <c r="BP72">
        <v>27</v>
      </c>
      <c r="BQ72">
        <v>2</v>
      </c>
      <c r="BR72">
        <v>0</v>
      </c>
      <c r="BS72">
        <v>1</v>
      </c>
      <c r="BT72">
        <v>0</v>
      </c>
      <c r="BU72">
        <v>0</v>
      </c>
      <c r="BV72">
        <v>13</v>
      </c>
      <c r="BW72">
        <v>0</v>
      </c>
      <c r="BX72">
        <v>0</v>
      </c>
      <c r="BY72">
        <v>0</v>
      </c>
      <c r="BZ72">
        <v>43</v>
      </c>
      <c r="CA72">
        <v>1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0</v>
      </c>
      <c r="CJ72">
        <v>0</v>
      </c>
      <c r="CK72">
        <v>0</v>
      </c>
      <c r="CL72">
        <v>1</v>
      </c>
      <c r="CM72">
        <v>3</v>
      </c>
      <c r="CN72">
        <v>2</v>
      </c>
      <c r="CO72">
        <v>0</v>
      </c>
      <c r="CP72">
        <v>0</v>
      </c>
      <c r="CQ72">
        <v>0</v>
      </c>
      <c r="CR72">
        <v>0</v>
      </c>
      <c r="CS72">
        <v>1</v>
      </c>
      <c r="CT72">
        <v>0</v>
      </c>
      <c r="CU72">
        <v>0</v>
      </c>
      <c r="CV72">
        <v>0</v>
      </c>
      <c r="CW72">
        <v>0</v>
      </c>
      <c r="CX72">
        <v>3</v>
      </c>
      <c r="CY72">
        <v>5</v>
      </c>
      <c r="CZ72">
        <v>2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1</v>
      </c>
      <c r="DG72">
        <v>1</v>
      </c>
      <c r="DH72">
        <v>0</v>
      </c>
      <c r="DI72">
        <v>0</v>
      </c>
      <c r="DJ72">
        <v>5</v>
      </c>
      <c r="DK72">
        <v>21</v>
      </c>
      <c r="DL72">
        <v>12</v>
      </c>
      <c r="DM72">
        <v>3</v>
      </c>
      <c r="DN72">
        <v>0</v>
      </c>
      <c r="DO72">
        <v>3</v>
      </c>
      <c r="DP72">
        <v>0</v>
      </c>
      <c r="DQ72">
        <v>0</v>
      </c>
      <c r="DR72">
        <v>1</v>
      </c>
      <c r="DS72">
        <v>1</v>
      </c>
      <c r="DT72">
        <v>0</v>
      </c>
      <c r="DU72">
        <v>1</v>
      </c>
      <c r="DV72">
        <v>21</v>
      </c>
      <c r="DW72">
        <v>72</v>
      </c>
      <c r="DX72">
        <v>16</v>
      </c>
      <c r="DY72">
        <v>0</v>
      </c>
      <c r="DZ72">
        <v>0</v>
      </c>
      <c r="EA72">
        <v>2</v>
      </c>
      <c r="EB72">
        <v>0</v>
      </c>
      <c r="EC72">
        <v>2</v>
      </c>
      <c r="ED72">
        <v>1</v>
      </c>
      <c r="EE72">
        <v>51</v>
      </c>
      <c r="EF72">
        <v>0</v>
      </c>
      <c r="EG72">
        <v>0</v>
      </c>
      <c r="EH72">
        <v>72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1</v>
      </c>
      <c r="ET72">
        <v>1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1</v>
      </c>
      <c r="FE72">
        <v>2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1</v>
      </c>
      <c r="FN72">
        <v>0</v>
      </c>
      <c r="FO72">
        <v>1</v>
      </c>
      <c r="FP72">
        <v>2</v>
      </c>
    </row>
    <row r="73" spans="1:172" ht="14.25">
      <c r="A73">
        <v>68</v>
      </c>
      <c r="B73" t="str">
        <f>"100906"</f>
        <v>100906</v>
      </c>
      <c r="C73" t="str">
        <f>"Siemkowice"</f>
        <v>Siemkowice</v>
      </c>
      <c r="D73" t="str">
        <f t="shared" si="10"/>
        <v>pajęczański</v>
      </c>
      <c r="E73" t="str">
        <f t="shared" si="11"/>
        <v>łódzkie</v>
      </c>
      <c r="F73">
        <v>2</v>
      </c>
      <c r="G73" t="str">
        <f>"Szkoła Podstawowa w Radoszewicach, Niemojewskich 1a, Radoszewice, 98-354 Siemkowice"</f>
        <v>Szkoła Podstawowa w Radoszewicach, Niemojewskich 1a, Radoszewice, 98-354 Siemkowice</v>
      </c>
      <c r="H73">
        <v>1194</v>
      </c>
      <c r="I73">
        <v>1194</v>
      </c>
      <c r="J73">
        <v>0</v>
      </c>
      <c r="K73">
        <v>840</v>
      </c>
      <c r="L73">
        <v>646</v>
      </c>
      <c r="M73">
        <v>194</v>
      </c>
      <c r="N73">
        <v>194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194</v>
      </c>
      <c r="Z73">
        <v>0</v>
      </c>
      <c r="AA73">
        <v>0</v>
      </c>
      <c r="AB73">
        <v>194</v>
      </c>
      <c r="AC73">
        <v>9</v>
      </c>
      <c r="AD73">
        <v>185</v>
      </c>
      <c r="AE73">
        <v>4</v>
      </c>
      <c r="AF73">
        <v>1</v>
      </c>
      <c r="AG73">
        <v>0</v>
      </c>
      <c r="AH73">
        <v>2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4</v>
      </c>
      <c r="AQ73">
        <v>2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2</v>
      </c>
      <c r="BB73">
        <v>2</v>
      </c>
      <c r="BC73">
        <v>6</v>
      </c>
      <c r="BD73">
        <v>5</v>
      </c>
      <c r="BE73">
        <v>0</v>
      </c>
      <c r="BF73">
        <v>0</v>
      </c>
      <c r="BG73">
        <v>0</v>
      </c>
      <c r="BH73">
        <v>1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6</v>
      </c>
      <c r="BO73">
        <v>80</v>
      </c>
      <c r="BP73">
        <v>66</v>
      </c>
      <c r="BQ73">
        <v>0</v>
      </c>
      <c r="BR73">
        <v>0</v>
      </c>
      <c r="BS73">
        <v>0</v>
      </c>
      <c r="BT73">
        <v>2</v>
      </c>
      <c r="BU73">
        <v>0</v>
      </c>
      <c r="BV73">
        <v>5</v>
      </c>
      <c r="BW73">
        <v>0</v>
      </c>
      <c r="BX73">
        <v>1</v>
      </c>
      <c r="BY73">
        <v>6</v>
      </c>
      <c r="BZ73">
        <v>80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1</v>
      </c>
      <c r="CN73">
        <v>1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1</v>
      </c>
      <c r="CY73">
        <v>7</v>
      </c>
      <c r="CZ73">
        <v>2</v>
      </c>
      <c r="DA73">
        <v>0</v>
      </c>
      <c r="DB73">
        <v>1</v>
      </c>
      <c r="DC73">
        <v>1</v>
      </c>
      <c r="DD73">
        <v>0</v>
      </c>
      <c r="DE73">
        <v>2</v>
      </c>
      <c r="DF73">
        <v>0</v>
      </c>
      <c r="DG73">
        <v>0</v>
      </c>
      <c r="DH73">
        <v>1</v>
      </c>
      <c r="DI73">
        <v>0</v>
      </c>
      <c r="DJ73">
        <v>7</v>
      </c>
      <c r="DK73">
        <v>16</v>
      </c>
      <c r="DL73">
        <v>10</v>
      </c>
      <c r="DM73">
        <v>1</v>
      </c>
      <c r="DN73">
        <v>0</v>
      </c>
      <c r="DO73">
        <v>1</v>
      </c>
      <c r="DP73">
        <v>0</v>
      </c>
      <c r="DQ73">
        <v>0</v>
      </c>
      <c r="DR73">
        <v>1</v>
      </c>
      <c r="DS73">
        <v>0</v>
      </c>
      <c r="DT73">
        <v>2</v>
      </c>
      <c r="DU73">
        <v>1</v>
      </c>
      <c r="DV73">
        <v>16</v>
      </c>
      <c r="DW73">
        <v>58</v>
      </c>
      <c r="DX73">
        <v>17</v>
      </c>
      <c r="DY73">
        <v>3</v>
      </c>
      <c r="DZ73">
        <v>0</v>
      </c>
      <c r="EA73">
        <v>0</v>
      </c>
      <c r="EB73">
        <v>0</v>
      </c>
      <c r="EC73">
        <v>0</v>
      </c>
      <c r="ED73">
        <v>1</v>
      </c>
      <c r="EE73">
        <v>36</v>
      </c>
      <c r="EF73">
        <v>1</v>
      </c>
      <c r="EG73">
        <v>0</v>
      </c>
      <c r="EH73">
        <v>58</v>
      </c>
      <c r="EI73">
        <v>1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1</v>
      </c>
      <c r="ER73">
        <v>1</v>
      </c>
      <c r="ES73">
        <v>8</v>
      </c>
      <c r="ET73">
        <v>8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8</v>
      </c>
      <c r="FE73">
        <v>1</v>
      </c>
      <c r="FF73">
        <v>0</v>
      </c>
      <c r="FG73">
        <v>0</v>
      </c>
      <c r="FH73">
        <v>1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1</v>
      </c>
    </row>
    <row r="74" spans="1:172" ht="14.25">
      <c r="A74">
        <v>69</v>
      </c>
      <c r="B74" t="str">
        <f>"100906"</f>
        <v>100906</v>
      </c>
      <c r="C74" t="str">
        <f>"Siemkowice"</f>
        <v>Siemkowice</v>
      </c>
      <c r="D74" t="str">
        <f t="shared" si="10"/>
        <v>pajęczański</v>
      </c>
      <c r="E74" t="str">
        <f t="shared" si="11"/>
        <v>łódzkie</v>
      </c>
      <c r="F74">
        <v>3</v>
      </c>
      <c r="G74" t="str">
        <f>"Szkoła Podstawowa w Lipniku, Lipnik 2, 98-354 Siemkowice"</f>
        <v>Szkoła Podstawowa w Lipniku, Lipnik 2, 98-354 Siemkowice</v>
      </c>
      <c r="H74">
        <v>1010</v>
      </c>
      <c r="I74">
        <v>1010</v>
      </c>
      <c r="J74">
        <v>0</v>
      </c>
      <c r="K74">
        <v>710</v>
      </c>
      <c r="L74">
        <v>473</v>
      </c>
      <c r="M74">
        <v>237</v>
      </c>
      <c r="N74">
        <v>237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237</v>
      </c>
      <c r="Z74">
        <v>0</v>
      </c>
      <c r="AA74">
        <v>0</v>
      </c>
      <c r="AB74">
        <v>237</v>
      </c>
      <c r="AC74">
        <v>8</v>
      </c>
      <c r="AD74">
        <v>229</v>
      </c>
      <c r="AE74">
        <v>4</v>
      </c>
      <c r="AF74">
        <v>1</v>
      </c>
      <c r="AG74">
        <v>0</v>
      </c>
      <c r="AH74">
        <v>1</v>
      </c>
      <c r="AI74">
        <v>0</v>
      </c>
      <c r="AJ74">
        <v>1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4</v>
      </c>
      <c r="AQ74">
        <v>1</v>
      </c>
      <c r="AR74">
        <v>0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1</v>
      </c>
      <c r="BC74">
        <v>5</v>
      </c>
      <c r="BD74">
        <v>3</v>
      </c>
      <c r="BE74">
        <v>0</v>
      </c>
      <c r="BF74">
        <v>1</v>
      </c>
      <c r="BG74">
        <v>0</v>
      </c>
      <c r="BH74">
        <v>0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5</v>
      </c>
      <c r="BO74">
        <v>118</v>
      </c>
      <c r="BP74">
        <v>93</v>
      </c>
      <c r="BQ74">
        <v>0</v>
      </c>
      <c r="BR74">
        <v>0</v>
      </c>
      <c r="BS74">
        <v>4</v>
      </c>
      <c r="BT74">
        <v>0</v>
      </c>
      <c r="BU74">
        <v>4</v>
      </c>
      <c r="BV74">
        <v>9</v>
      </c>
      <c r="BW74">
        <v>0</v>
      </c>
      <c r="BX74">
        <v>0</v>
      </c>
      <c r="BY74">
        <v>8</v>
      </c>
      <c r="BZ74">
        <v>118</v>
      </c>
      <c r="CA74">
        <v>3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1</v>
      </c>
      <c r="CJ74">
        <v>2</v>
      </c>
      <c r="CK74">
        <v>0</v>
      </c>
      <c r="CL74">
        <v>3</v>
      </c>
      <c r="CM74">
        <v>3</v>
      </c>
      <c r="CN74">
        <v>0</v>
      </c>
      <c r="CO74">
        <v>2</v>
      </c>
      <c r="CP74">
        <v>1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3</v>
      </c>
      <c r="CY74">
        <v>5</v>
      </c>
      <c r="CZ74">
        <v>5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5</v>
      </c>
      <c r="DK74">
        <v>11</v>
      </c>
      <c r="DL74">
        <v>9</v>
      </c>
      <c r="DM74">
        <v>1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0</v>
      </c>
      <c r="DT74">
        <v>0</v>
      </c>
      <c r="DU74">
        <v>0</v>
      </c>
      <c r="DV74">
        <v>11</v>
      </c>
      <c r="DW74">
        <v>71</v>
      </c>
      <c r="DX74">
        <v>22</v>
      </c>
      <c r="DY74">
        <v>1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47</v>
      </c>
      <c r="EF74">
        <v>1</v>
      </c>
      <c r="EG74">
        <v>0</v>
      </c>
      <c r="EH74">
        <v>71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8</v>
      </c>
      <c r="ET74">
        <v>8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8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</row>
    <row r="75" spans="1:172" ht="14.25">
      <c r="A75">
        <v>70</v>
      </c>
      <c r="B75" t="str">
        <f>"100906"</f>
        <v>100906</v>
      </c>
      <c r="C75" t="str">
        <f>"Siemkowice"</f>
        <v>Siemkowice</v>
      </c>
      <c r="D75" t="str">
        <f t="shared" si="10"/>
        <v>pajęczański</v>
      </c>
      <c r="E75" t="str">
        <f t="shared" si="11"/>
        <v>łódzkie</v>
      </c>
      <c r="F75">
        <v>4</v>
      </c>
      <c r="G75" t="str">
        <f>"Szkoła Podstawowa w Ożegowie, Szkolna 19, Ożegów, 98-354 Siemkowice"</f>
        <v>Szkoła Podstawowa w Ożegowie, Szkolna 19, Ożegów, 98-354 Siemkowice</v>
      </c>
      <c r="H75">
        <v>765</v>
      </c>
      <c r="I75">
        <v>765</v>
      </c>
      <c r="J75">
        <v>0</v>
      </c>
      <c r="K75">
        <v>530</v>
      </c>
      <c r="L75">
        <v>403</v>
      </c>
      <c r="M75">
        <v>127</v>
      </c>
      <c r="N75">
        <v>127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127</v>
      </c>
      <c r="Z75">
        <v>0</v>
      </c>
      <c r="AA75">
        <v>0</v>
      </c>
      <c r="AB75">
        <v>127</v>
      </c>
      <c r="AC75">
        <v>13</v>
      </c>
      <c r="AD75">
        <v>114</v>
      </c>
      <c r="AE75">
        <v>6</v>
      </c>
      <c r="AF75">
        <v>2</v>
      </c>
      <c r="AG75">
        <v>0</v>
      </c>
      <c r="AH75">
        <v>1</v>
      </c>
      <c r="AI75">
        <v>1</v>
      </c>
      <c r="AJ75">
        <v>0</v>
      </c>
      <c r="AK75">
        <v>1</v>
      </c>
      <c r="AL75">
        <v>1</v>
      </c>
      <c r="AM75">
        <v>0</v>
      </c>
      <c r="AN75">
        <v>0</v>
      </c>
      <c r="AO75">
        <v>0</v>
      </c>
      <c r="AP75">
        <v>6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15</v>
      </c>
      <c r="BD75">
        <v>6</v>
      </c>
      <c r="BE75">
        <v>0</v>
      </c>
      <c r="BF75">
        <v>1</v>
      </c>
      <c r="BG75">
        <v>1</v>
      </c>
      <c r="BH75">
        <v>0</v>
      </c>
      <c r="BI75">
        <v>0</v>
      </c>
      <c r="BJ75">
        <v>6</v>
      </c>
      <c r="BK75">
        <v>0</v>
      </c>
      <c r="BL75">
        <v>0</v>
      </c>
      <c r="BM75">
        <v>1</v>
      </c>
      <c r="BN75">
        <v>15</v>
      </c>
      <c r="BO75">
        <v>44</v>
      </c>
      <c r="BP75">
        <v>33</v>
      </c>
      <c r="BQ75">
        <v>1</v>
      </c>
      <c r="BR75">
        <v>0</v>
      </c>
      <c r="BS75">
        <v>1</v>
      </c>
      <c r="BT75">
        <v>1</v>
      </c>
      <c r="BU75">
        <v>0</v>
      </c>
      <c r="BV75">
        <v>8</v>
      </c>
      <c r="BW75">
        <v>0</v>
      </c>
      <c r="BX75">
        <v>0</v>
      </c>
      <c r="BY75">
        <v>0</v>
      </c>
      <c r="BZ75">
        <v>44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4</v>
      </c>
      <c r="CZ75">
        <v>2</v>
      </c>
      <c r="DA75">
        <v>0</v>
      </c>
      <c r="DB75">
        <v>1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0</v>
      </c>
      <c r="DI75">
        <v>0</v>
      </c>
      <c r="DJ75">
        <v>4</v>
      </c>
      <c r="DK75">
        <v>7</v>
      </c>
      <c r="DL75">
        <v>5</v>
      </c>
      <c r="DM75">
        <v>0</v>
      </c>
      <c r="DN75">
        <v>0</v>
      </c>
      <c r="DO75">
        <v>2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7</v>
      </c>
      <c r="DW75">
        <v>36</v>
      </c>
      <c r="DX75">
        <v>21</v>
      </c>
      <c r="DY75">
        <v>1</v>
      </c>
      <c r="DZ75">
        <v>1</v>
      </c>
      <c r="EA75">
        <v>0</v>
      </c>
      <c r="EB75">
        <v>1</v>
      </c>
      <c r="EC75">
        <v>0</v>
      </c>
      <c r="ED75">
        <v>0</v>
      </c>
      <c r="EE75">
        <v>11</v>
      </c>
      <c r="EF75">
        <v>1</v>
      </c>
      <c r="EG75">
        <v>0</v>
      </c>
      <c r="EH75">
        <v>36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1</v>
      </c>
      <c r="FC75">
        <v>0</v>
      </c>
      <c r="FD75">
        <v>1</v>
      </c>
      <c r="FE75">
        <v>1</v>
      </c>
      <c r="FF75">
        <v>0</v>
      </c>
      <c r="FG75">
        <v>0</v>
      </c>
      <c r="FH75">
        <v>0</v>
      </c>
      <c r="FI75">
        <v>1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1</v>
      </c>
    </row>
    <row r="76" spans="1:172" ht="14.25">
      <c r="A76">
        <v>71</v>
      </c>
      <c r="B76" t="str">
        <f>"100907"</f>
        <v>100907</v>
      </c>
      <c r="C76" t="str">
        <f>"Strzelce Wielkie"</f>
        <v>Strzelce Wielkie</v>
      </c>
      <c r="D76" t="str">
        <f t="shared" si="10"/>
        <v>pajęczański</v>
      </c>
      <c r="E76" t="str">
        <f t="shared" si="11"/>
        <v>łódzkie</v>
      </c>
      <c r="F76">
        <v>1</v>
      </c>
      <c r="G76" t="str">
        <f>"Sala Posiedzeń Urzędu Gminy, Częstochowska 14, 98-337 Strzelce Wielkie"</f>
        <v>Sala Posiedzeń Urzędu Gminy, Częstochowska 14, 98-337 Strzelce Wielkie</v>
      </c>
      <c r="H76">
        <v>1808</v>
      </c>
      <c r="I76">
        <v>1808</v>
      </c>
      <c r="J76">
        <v>0</v>
      </c>
      <c r="K76">
        <v>1270</v>
      </c>
      <c r="L76">
        <v>962</v>
      </c>
      <c r="M76">
        <v>308</v>
      </c>
      <c r="N76">
        <v>308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308</v>
      </c>
      <c r="Z76">
        <v>0</v>
      </c>
      <c r="AA76">
        <v>0</v>
      </c>
      <c r="AB76">
        <v>308</v>
      </c>
      <c r="AC76">
        <v>18</v>
      </c>
      <c r="AD76">
        <v>290</v>
      </c>
      <c r="AE76">
        <v>6</v>
      </c>
      <c r="AF76">
        <v>3</v>
      </c>
      <c r="AG76">
        <v>2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1</v>
      </c>
      <c r="AP76">
        <v>6</v>
      </c>
      <c r="AQ76">
        <v>2</v>
      </c>
      <c r="AR76">
        <v>1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>
        <v>0</v>
      </c>
      <c r="BA76">
        <v>0</v>
      </c>
      <c r="BB76">
        <v>2</v>
      </c>
      <c r="BC76">
        <v>22</v>
      </c>
      <c r="BD76">
        <v>8</v>
      </c>
      <c r="BE76">
        <v>2</v>
      </c>
      <c r="BF76">
        <v>1</v>
      </c>
      <c r="BG76">
        <v>6</v>
      </c>
      <c r="BH76">
        <v>0</v>
      </c>
      <c r="BI76">
        <v>0</v>
      </c>
      <c r="BJ76">
        <v>0</v>
      </c>
      <c r="BK76">
        <v>0</v>
      </c>
      <c r="BL76">
        <v>3</v>
      </c>
      <c r="BM76">
        <v>2</v>
      </c>
      <c r="BN76">
        <v>22</v>
      </c>
      <c r="BO76">
        <v>142</v>
      </c>
      <c r="BP76">
        <v>103</v>
      </c>
      <c r="BQ76">
        <v>3</v>
      </c>
      <c r="BR76">
        <v>3</v>
      </c>
      <c r="BS76">
        <v>1</v>
      </c>
      <c r="BT76">
        <v>0</v>
      </c>
      <c r="BU76">
        <v>0</v>
      </c>
      <c r="BV76">
        <v>31</v>
      </c>
      <c r="BW76">
        <v>0</v>
      </c>
      <c r="BX76">
        <v>1</v>
      </c>
      <c r="BY76">
        <v>0</v>
      </c>
      <c r="BZ76">
        <v>142</v>
      </c>
      <c r="CA76">
        <v>8</v>
      </c>
      <c r="CB76">
        <v>2</v>
      </c>
      <c r="CC76">
        <v>2</v>
      </c>
      <c r="CD76">
        <v>1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1</v>
      </c>
      <c r="CK76">
        <v>2</v>
      </c>
      <c r="CL76">
        <v>8</v>
      </c>
      <c r="CM76">
        <v>4</v>
      </c>
      <c r="CN76">
        <v>3</v>
      </c>
      <c r="CO76">
        <v>1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4</v>
      </c>
      <c r="CY76">
        <v>27</v>
      </c>
      <c r="CZ76">
        <v>15</v>
      </c>
      <c r="DA76">
        <v>6</v>
      </c>
      <c r="DB76">
        <v>0</v>
      </c>
      <c r="DC76">
        <v>0</v>
      </c>
      <c r="DD76">
        <v>1</v>
      </c>
      <c r="DE76">
        <v>2</v>
      </c>
      <c r="DF76">
        <v>0</v>
      </c>
      <c r="DG76">
        <v>1</v>
      </c>
      <c r="DH76">
        <v>0</v>
      </c>
      <c r="DI76">
        <v>2</v>
      </c>
      <c r="DJ76">
        <v>27</v>
      </c>
      <c r="DK76">
        <v>31</v>
      </c>
      <c r="DL76">
        <v>11</v>
      </c>
      <c r="DM76">
        <v>4</v>
      </c>
      <c r="DN76">
        <v>2</v>
      </c>
      <c r="DO76">
        <v>7</v>
      </c>
      <c r="DP76">
        <v>2</v>
      </c>
      <c r="DQ76">
        <v>3</v>
      </c>
      <c r="DR76">
        <v>2</v>
      </c>
      <c r="DS76">
        <v>0</v>
      </c>
      <c r="DT76">
        <v>0</v>
      </c>
      <c r="DU76">
        <v>0</v>
      </c>
      <c r="DV76">
        <v>31</v>
      </c>
      <c r="DW76">
        <v>40</v>
      </c>
      <c r="DX76">
        <v>14</v>
      </c>
      <c r="DY76">
        <v>16</v>
      </c>
      <c r="DZ76">
        <v>0</v>
      </c>
      <c r="EA76">
        <v>0</v>
      </c>
      <c r="EB76">
        <v>1</v>
      </c>
      <c r="EC76">
        <v>2</v>
      </c>
      <c r="ED76">
        <v>1</v>
      </c>
      <c r="EE76">
        <v>1</v>
      </c>
      <c r="EF76">
        <v>3</v>
      </c>
      <c r="EG76">
        <v>2</v>
      </c>
      <c r="EH76">
        <v>40</v>
      </c>
      <c r="EI76">
        <v>5</v>
      </c>
      <c r="EJ76">
        <v>1</v>
      </c>
      <c r="EK76">
        <v>2</v>
      </c>
      <c r="EL76">
        <v>1</v>
      </c>
      <c r="EM76">
        <v>0</v>
      </c>
      <c r="EN76">
        <v>0</v>
      </c>
      <c r="EO76">
        <v>0</v>
      </c>
      <c r="EP76">
        <v>1</v>
      </c>
      <c r="EQ76">
        <v>0</v>
      </c>
      <c r="ER76">
        <v>5</v>
      </c>
      <c r="ES76">
        <v>1</v>
      </c>
      <c r="ET76">
        <v>1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1</v>
      </c>
      <c r="FE76">
        <v>2</v>
      </c>
      <c r="FF76">
        <v>0</v>
      </c>
      <c r="FG76">
        <v>0</v>
      </c>
      <c r="FH76">
        <v>0</v>
      </c>
      <c r="FI76">
        <v>1</v>
      </c>
      <c r="FJ76">
        <v>0</v>
      </c>
      <c r="FK76">
        <v>0</v>
      </c>
      <c r="FL76">
        <v>0</v>
      </c>
      <c r="FM76">
        <v>1</v>
      </c>
      <c r="FN76">
        <v>0</v>
      </c>
      <c r="FO76">
        <v>0</v>
      </c>
      <c r="FP76">
        <v>2</v>
      </c>
    </row>
    <row r="77" spans="1:172" ht="14.25">
      <c r="A77">
        <v>72</v>
      </c>
      <c r="B77" t="str">
        <f>"100907"</f>
        <v>100907</v>
      </c>
      <c r="C77" t="str">
        <f>"Strzelce Wielkie"</f>
        <v>Strzelce Wielkie</v>
      </c>
      <c r="D77" t="str">
        <f t="shared" si="10"/>
        <v>pajęczański</v>
      </c>
      <c r="E77" t="str">
        <f t="shared" si="11"/>
        <v>łódzkie</v>
      </c>
      <c r="F77">
        <v>2</v>
      </c>
      <c r="G77" t="str">
        <f>"Wiewiec Szkoła Podstawowa, Wiewiec 26, 98-337 Strzelce Wielkie"</f>
        <v>Wiewiec Szkoła Podstawowa, Wiewiec 26, 98-337 Strzelce Wielkie</v>
      </c>
      <c r="H77">
        <v>1286</v>
      </c>
      <c r="I77">
        <v>1286</v>
      </c>
      <c r="J77">
        <v>0</v>
      </c>
      <c r="K77">
        <v>900</v>
      </c>
      <c r="L77">
        <v>725</v>
      </c>
      <c r="M77">
        <v>175</v>
      </c>
      <c r="N77">
        <v>175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175</v>
      </c>
      <c r="Z77">
        <v>0</v>
      </c>
      <c r="AA77">
        <v>0</v>
      </c>
      <c r="AB77">
        <v>175</v>
      </c>
      <c r="AC77">
        <v>10</v>
      </c>
      <c r="AD77">
        <v>165</v>
      </c>
      <c r="AE77">
        <v>4</v>
      </c>
      <c r="AF77">
        <v>1</v>
      </c>
      <c r="AG77">
        <v>1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0</v>
      </c>
      <c r="AP77">
        <v>4</v>
      </c>
      <c r="AQ77">
        <v>3</v>
      </c>
      <c r="AR77">
        <v>2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0</v>
      </c>
      <c r="AZ77">
        <v>0</v>
      </c>
      <c r="BA77">
        <v>0</v>
      </c>
      <c r="BB77">
        <v>3</v>
      </c>
      <c r="BC77">
        <v>7</v>
      </c>
      <c r="BD77">
        <v>4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2</v>
      </c>
      <c r="BN77">
        <v>7</v>
      </c>
      <c r="BO77">
        <v>100</v>
      </c>
      <c r="BP77">
        <v>71</v>
      </c>
      <c r="BQ77">
        <v>0</v>
      </c>
      <c r="BR77">
        <v>7</v>
      </c>
      <c r="BS77">
        <v>0</v>
      </c>
      <c r="BT77">
        <v>0</v>
      </c>
      <c r="BU77">
        <v>1</v>
      </c>
      <c r="BV77">
        <v>19</v>
      </c>
      <c r="BW77">
        <v>0</v>
      </c>
      <c r="BX77">
        <v>1</v>
      </c>
      <c r="BY77">
        <v>1</v>
      </c>
      <c r="BZ77">
        <v>100</v>
      </c>
      <c r="CA77">
        <v>3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3</v>
      </c>
      <c r="CK77">
        <v>0</v>
      </c>
      <c r="CL77">
        <v>3</v>
      </c>
      <c r="CM77">
        <v>4</v>
      </c>
      <c r="CN77">
        <v>4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4</v>
      </c>
      <c r="CY77">
        <v>14</v>
      </c>
      <c r="CZ77">
        <v>12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1</v>
      </c>
      <c r="DH77">
        <v>0</v>
      </c>
      <c r="DI77">
        <v>0</v>
      </c>
      <c r="DJ77">
        <v>14</v>
      </c>
      <c r="DK77">
        <v>15</v>
      </c>
      <c r="DL77">
        <v>12</v>
      </c>
      <c r="DM77">
        <v>1</v>
      </c>
      <c r="DN77">
        <v>0</v>
      </c>
      <c r="DO77">
        <v>2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15</v>
      </c>
      <c r="DW77">
        <v>14</v>
      </c>
      <c r="DX77">
        <v>5</v>
      </c>
      <c r="DY77">
        <v>7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2</v>
      </c>
      <c r="EF77">
        <v>0</v>
      </c>
      <c r="EG77">
        <v>0</v>
      </c>
      <c r="EH77">
        <v>14</v>
      </c>
      <c r="EI77">
        <v>1</v>
      </c>
      <c r="EJ77">
        <v>0</v>
      </c>
      <c r="EK77">
        <v>1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1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</row>
    <row r="78" spans="1:172" ht="14.25">
      <c r="A78">
        <v>73</v>
      </c>
      <c r="B78" t="str">
        <f>"100907"</f>
        <v>100907</v>
      </c>
      <c r="C78" t="str">
        <f>"Strzelce Wielkie"</f>
        <v>Strzelce Wielkie</v>
      </c>
      <c r="D78" t="str">
        <f t="shared" si="10"/>
        <v>pajęczański</v>
      </c>
      <c r="E78" t="str">
        <f t="shared" si="11"/>
        <v>łódzkie</v>
      </c>
      <c r="F78">
        <v>3</v>
      </c>
      <c r="G78" t="str">
        <f>"Wistka budynek po Szkole Podstawowej, Wistka 125, 98-337 Strzelce Wielkie"</f>
        <v>Wistka budynek po Szkole Podstawowej, Wistka 125, 98-337 Strzelce Wielkie</v>
      </c>
      <c r="H78">
        <v>786</v>
      </c>
      <c r="I78">
        <v>786</v>
      </c>
      <c r="J78">
        <v>0</v>
      </c>
      <c r="K78">
        <v>551</v>
      </c>
      <c r="L78">
        <v>460</v>
      </c>
      <c r="M78">
        <v>91</v>
      </c>
      <c r="N78">
        <v>91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91</v>
      </c>
      <c r="Z78">
        <v>0</v>
      </c>
      <c r="AA78">
        <v>0</v>
      </c>
      <c r="AB78">
        <v>91</v>
      </c>
      <c r="AC78">
        <v>1</v>
      </c>
      <c r="AD78">
        <v>90</v>
      </c>
      <c r="AE78">
        <v>7</v>
      </c>
      <c r="AF78">
        <v>3</v>
      </c>
      <c r="AG78">
        <v>0</v>
      </c>
      <c r="AH78">
        <v>2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2</v>
      </c>
      <c r="AP78">
        <v>7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4</v>
      </c>
      <c r="BD78">
        <v>2</v>
      </c>
      <c r="BE78">
        <v>0</v>
      </c>
      <c r="BF78">
        <v>0</v>
      </c>
      <c r="BG78">
        <v>2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4</v>
      </c>
      <c r="BO78">
        <v>57</v>
      </c>
      <c r="BP78">
        <v>30</v>
      </c>
      <c r="BQ78">
        <v>0</v>
      </c>
      <c r="BR78">
        <v>3</v>
      </c>
      <c r="BS78">
        <v>1</v>
      </c>
      <c r="BT78">
        <v>2</v>
      </c>
      <c r="BU78">
        <v>0</v>
      </c>
      <c r="BV78">
        <v>14</v>
      </c>
      <c r="BW78">
        <v>6</v>
      </c>
      <c r="BX78">
        <v>0</v>
      </c>
      <c r="BY78">
        <v>1</v>
      </c>
      <c r="BZ78">
        <v>57</v>
      </c>
      <c r="CA78">
        <v>3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3</v>
      </c>
      <c r="CK78">
        <v>0</v>
      </c>
      <c r="CL78">
        <v>3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1</v>
      </c>
      <c r="CY78">
        <v>4</v>
      </c>
      <c r="CZ78">
        <v>2</v>
      </c>
      <c r="DA78">
        <v>0</v>
      </c>
      <c r="DB78">
        <v>0</v>
      </c>
      <c r="DC78">
        <v>0</v>
      </c>
      <c r="DD78">
        <v>0</v>
      </c>
      <c r="DE78">
        <v>1</v>
      </c>
      <c r="DF78">
        <v>0</v>
      </c>
      <c r="DG78">
        <v>1</v>
      </c>
      <c r="DH78">
        <v>0</v>
      </c>
      <c r="DI78">
        <v>0</v>
      </c>
      <c r="DJ78">
        <v>4</v>
      </c>
      <c r="DK78">
        <v>5</v>
      </c>
      <c r="DL78">
        <v>3</v>
      </c>
      <c r="DM78">
        <v>1</v>
      </c>
      <c r="DN78">
        <v>0</v>
      </c>
      <c r="DO78">
        <v>1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5</v>
      </c>
      <c r="DW78">
        <v>9</v>
      </c>
      <c r="DX78">
        <v>1</v>
      </c>
      <c r="DY78">
        <v>6</v>
      </c>
      <c r="DZ78">
        <v>0</v>
      </c>
      <c r="EA78">
        <v>0</v>
      </c>
      <c r="EB78">
        <v>2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9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</row>
    <row r="79" spans="1:172" ht="14.25">
      <c r="A79">
        <v>74</v>
      </c>
      <c r="B79" t="str">
        <f>"100908"</f>
        <v>100908</v>
      </c>
      <c r="C79" t="str">
        <f>"Sulmierzyce"</f>
        <v>Sulmierzyce</v>
      </c>
      <c r="D79" t="str">
        <f t="shared" si="10"/>
        <v>pajęczański</v>
      </c>
      <c r="E79" t="str">
        <f t="shared" si="11"/>
        <v>łódzkie</v>
      </c>
      <c r="F79">
        <v>1</v>
      </c>
      <c r="G79" t="str">
        <f>"Zespół Szkolno - Przedszkolny w Bogumiłowicach, Bogumiłowice 85, 98-338 Sulmierzyce"</f>
        <v>Zespół Szkolno - Przedszkolny w Bogumiłowicach, Bogumiłowice 85, 98-338 Sulmierzyce</v>
      </c>
      <c r="H79">
        <v>836</v>
      </c>
      <c r="I79">
        <v>836</v>
      </c>
      <c r="J79">
        <v>0</v>
      </c>
      <c r="K79">
        <v>590</v>
      </c>
      <c r="L79">
        <v>431</v>
      </c>
      <c r="M79">
        <v>159</v>
      </c>
      <c r="N79">
        <v>159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159</v>
      </c>
      <c r="Z79">
        <v>0</v>
      </c>
      <c r="AA79">
        <v>0</v>
      </c>
      <c r="AB79">
        <v>159</v>
      </c>
      <c r="AC79">
        <v>6</v>
      </c>
      <c r="AD79">
        <v>153</v>
      </c>
      <c r="AE79">
        <v>5</v>
      </c>
      <c r="AF79">
        <v>1</v>
      </c>
      <c r="AG79">
        <v>0</v>
      </c>
      <c r="AH79">
        <v>2</v>
      </c>
      <c r="AI79">
        <v>0</v>
      </c>
      <c r="AJ79">
        <v>1</v>
      </c>
      <c r="AK79">
        <v>0</v>
      </c>
      <c r="AL79">
        <v>0</v>
      </c>
      <c r="AM79">
        <v>1</v>
      </c>
      <c r="AN79">
        <v>0</v>
      </c>
      <c r="AO79">
        <v>0</v>
      </c>
      <c r="AP79">
        <v>5</v>
      </c>
      <c r="AQ79">
        <v>3</v>
      </c>
      <c r="AR79">
        <v>1</v>
      </c>
      <c r="AS79">
        <v>0</v>
      </c>
      <c r="AT79">
        <v>0</v>
      </c>
      <c r="AU79">
        <v>2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3</v>
      </c>
      <c r="BC79">
        <v>25</v>
      </c>
      <c r="BD79">
        <v>9</v>
      </c>
      <c r="BE79">
        <v>3</v>
      </c>
      <c r="BF79">
        <v>5</v>
      </c>
      <c r="BG79">
        <v>0</v>
      </c>
      <c r="BH79">
        <v>0</v>
      </c>
      <c r="BI79">
        <v>1</v>
      </c>
      <c r="BJ79">
        <v>2</v>
      </c>
      <c r="BK79">
        <v>0</v>
      </c>
      <c r="BL79">
        <v>0</v>
      </c>
      <c r="BM79">
        <v>5</v>
      </c>
      <c r="BN79">
        <v>25</v>
      </c>
      <c r="BO79">
        <v>67</v>
      </c>
      <c r="BP79">
        <v>50</v>
      </c>
      <c r="BQ79">
        <v>3</v>
      </c>
      <c r="BR79">
        <v>3</v>
      </c>
      <c r="BS79">
        <v>1</v>
      </c>
      <c r="BT79">
        <v>0</v>
      </c>
      <c r="BU79">
        <v>0</v>
      </c>
      <c r="BV79">
        <v>9</v>
      </c>
      <c r="BW79">
        <v>0</v>
      </c>
      <c r="BX79">
        <v>0</v>
      </c>
      <c r="BY79">
        <v>1</v>
      </c>
      <c r="BZ79">
        <v>67</v>
      </c>
      <c r="CA79">
        <v>3</v>
      </c>
      <c r="CB79">
        <v>0</v>
      </c>
      <c r="CC79">
        <v>3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3</v>
      </c>
      <c r="CM79">
        <v>3</v>
      </c>
      <c r="CN79">
        <v>0</v>
      </c>
      <c r="CO79">
        <v>0</v>
      </c>
      <c r="CP79">
        <v>2</v>
      </c>
      <c r="CQ79">
        <v>0</v>
      </c>
      <c r="CR79">
        <v>0</v>
      </c>
      <c r="CS79">
        <v>1</v>
      </c>
      <c r="CT79">
        <v>0</v>
      </c>
      <c r="CU79">
        <v>0</v>
      </c>
      <c r="CV79">
        <v>0</v>
      </c>
      <c r="CW79">
        <v>0</v>
      </c>
      <c r="CX79">
        <v>3</v>
      </c>
      <c r="CY79">
        <v>9</v>
      </c>
      <c r="CZ79">
        <v>4</v>
      </c>
      <c r="DA79">
        <v>3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2</v>
      </c>
      <c r="DJ79">
        <v>9</v>
      </c>
      <c r="DK79">
        <v>19</v>
      </c>
      <c r="DL79">
        <v>9</v>
      </c>
      <c r="DM79">
        <v>6</v>
      </c>
      <c r="DN79">
        <v>1</v>
      </c>
      <c r="DO79">
        <v>0</v>
      </c>
      <c r="DP79">
        <v>1</v>
      </c>
      <c r="DQ79">
        <v>0</v>
      </c>
      <c r="DR79">
        <v>2</v>
      </c>
      <c r="DS79">
        <v>0</v>
      </c>
      <c r="DT79">
        <v>0</v>
      </c>
      <c r="DU79">
        <v>0</v>
      </c>
      <c r="DV79">
        <v>19</v>
      </c>
      <c r="DW79">
        <v>18</v>
      </c>
      <c r="DX79">
        <v>7</v>
      </c>
      <c r="DY79">
        <v>4</v>
      </c>
      <c r="DZ79">
        <v>1</v>
      </c>
      <c r="EA79">
        <v>0</v>
      </c>
      <c r="EB79">
        <v>0</v>
      </c>
      <c r="EC79">
        <v>2</v>
      </c>
      <c r="ED79">
        <v>0</v>
      </c>
      <c r="EE79">
        <v>3</v>
      </c>
      <c r="EF79">
        <v>1</v>
      </c>
      <c r="EG79">
        <v>0</v>
      </c>
      <c r="EH79">
        <v>18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1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1</v>
      </c>
      <c r="EZ79">
        <v>0</v>
      </c>
      <c r="FA79">
        <v>0</v>
      </c>
      <c r="FB79">
        <v>0</v>
      </c>
      <c r="FC79">
        <v>0</v>
      </c>
      <c r="FD79">
        <v>1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</row>
    <row r="80" spans="1:172" ht="14.25">
      <c r="A80">
        <v>75</v>
      </c>
      <c r="B80" t="str">
        <f>"100908"</f>
        <v>100908</v>
      </c>
      <c r="C80" t="str">
        <f>"Sulmierzyce"</f>
        <v>Sulmierzyce</v>
      </c>
      <c r="D80" t="str">
        <f t="shared" si="10"/>
        <v>pajęczański</v>
      </c>
      <c r="E80" t="str">
        <f t="shared" si="11"/>
        <v>łódzkie</v>
      </c>
      <c r="F80">
        <v>2</v>
      </c>
      <c r="G80" t="str">
        <f>"Szkoła Podstawowa w Dworszowicach Pakoszowych, Dworszowice Pakoszowe 5, 98-338 Sulmierzyce"</f>
        <v>Szkoła Podstawowa w Dworszowicach Pakoszowych, Dworszowice Pakoszowe 5, 98-338 Sulmierzyce</v>
      </c>
      <c r="H80">
        <v>490</v>
      </c>
      <c r="I80">
        <v>490</v>
      </c>
      <c r="J80">
        <v>0</v>
      </c>
      <c r="K80">
        <v>340</v>
      </c>
      <c r="L80">
        <v>261</v>
      </c>
      <c r="M80">
        <v>79</v>
      </c>
      <c r="N80">
        <v>79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79</v>
      </c>
      <c r="Z80">
        <v>0</v>
      </c>
      <c r="AA80">
        <v>0</v>
      </c>
      <c r="AB80">
        <v>79</v>
      </c>
      <c r="AC80">
        <v>1</v>
      </c>
      <c r="AD80">
        <v>78</v>
      </c>
      <c r="AE80">
        <v>6</v>
      </c>
      <c r="AF80">
        <v>5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6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2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2</v>
      </c>
      <c r="BK80">
        <v>0</v>
      </c>
      <c r="BL80">
        <v>0</v>
      </c>
      <c r="BM80">
        <v>0</v>
      </c>
      <c r="BN80">
        <v>2</v>
      </c>
      <c r="BO80">
        <v>52</v>
      </c>
      <c r="BP80">
        <v>39</v>
      </c>
      <c r="BQ80">
        <v>1</v>
      </c>
      <c r="BR80">
        <v>0</v>
      </c>
      <c r="BS80">
        <v>1</v>
      </c>
      <c r="BT80">
        <v>0</v>
      </c>
      <c r="BU80">
        <v>1</v>
      </c>
      <c r="BV80">
        <v>9</v>
      </c>
      <c r="BW80">
        <v>0</v>
      </c>
      <c r="BX80">
        <v>0</v>
      </c>
      <c r="BY80">
        <v>1</v>
      </c>
      <c r="BZ80">
        <v>52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1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1</v>
      </c>
      <c r="CT80">
        <v>0</v>
      </c>
      <c r="CU80">
        <v>0</v>
      </c>
      <c r="CV80">
        <v>0</v>
      </c>
      <c r="CW80">
        <v>0</v>
      </c>
      <c r="CX80">
        <v>1</v>
      </c>
      <c r="CY80">
        <v>8</v>
      </c>
      <c r="CZ80">
        <v>7</v>
      </c>
      <c r="DA80">
        <v>0</v>
      </c>
      <c r="DB80">
        <v>0</v>
      </c>
      <c r="DC80">
        <v>1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8</v>
      </c>
      <c r="DK80">
        <v>4</v>
      </c>
      <c r="DL80">
        <v>3</v>
      </c>
      <c r="DM80">
        <v>0</v>
      </c>
      <c r="DN80">
        <v>0</v>
      </c>
      <c r="DO80">
        <v>0</v>
      </c>
      <c r="DP80">
        <v>1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4</v>
      </c>
      <c r="DW80">
        <v>4</v>
      </c>
      <c r="DX80">
        <v>2</v>
      </c>
      <c r="DY80">
        <v>0</v>
      </c>
      <c r="DZ80">
        <v>0</v>
      </c>
      <c r="EA80">
        <v>0</v>
      </c>
      <c r="EB80">
        <v>1</v>
      </c>
      <c r="EC80">
        <v>0</v>
      </c>
      <c r="ED80">
        <v>0</v>
      </c>
      <c r="EE80">
        <v>0</v>
      </c>
      <c r="EF80">
        <v>0</v>
      </c>
      <c r="EG80">
        <v>1</v>
      </c>
      <c r="EH80">
        <v>4</v>
      </c>
      <c r="EI80">
        <v>1</v>
      </c>
      <c r="EJ80">
        <v>0</v>
      </c>
      <c r="EK80">
        <v>1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1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</row>
    <row r="81" spans="1:172" ht="14.25">
      <c r="A81">
        <v>76</v>
      </c>
      <c r="B81" t="str">
        <f>"100908"</f>
        <v>100908</v>
      </c>
      <c r="C81" t="str">
        <f>"Sulmierzyce"</f>
        <v>Sulmierzyce</v>
      </c>
      <c r="D81" t="str">
        <f t="shared" si="10"/>
        <v>pajęczański</v>
      </c>
      <c r="E81" t="str">
        <f t="shared" si="11"/>
        <v>łódzkie</v>
      </c>
      <c r="F81">
        <v>3</v>
      </c>
      <c r="G81" t="str">
        <f>"Urząd Gminy w Sulmierzycach, Urzędowa 1, 98-338 Sulmierzyce"</f>
        <v>Urząd Gminy w Sulmierzycach, Urzędowa 1, 98-338 Sulmierzyce</v>
      </c>
      <c r="H81">
        <v>890</v>
      </c>
      <c r="I81">
        <v>890</v>
      </c>
      <c r="J81">
        <v>0</v>
      </c>
      <c r="K81">
        <v>619</v>
      </c>
      <c r="L81">
        <v>428</v>
      </c>
      <c r="M81">
        <v>191</v>
      </c>
      <c r="N81">
        <v>191</v>
      </c>
      <c r="O81">
        <v>0</v>
      </c>
      <c r="P81">
        <v>0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191</v>
      </c>
      <c r="Z81">
        <v>0</v>
      </c>
      <c r="AA81">
        <v>0</v>
      </c>
      <c r="AB81">
        <v>191</v>
      </c>
      <c r="AC81">
        <v>8</v>
      </c>
      <c r="AD81">
        <v>183</v>
      </c>
      <c r="AE81">
        <v>6</v>
      </c>
      <c r="AF81">
        <v>1</v>
      </c>
      <c r="AG81">
        <v>0</v>
      </c>
      <c r="AH81">
        <v>5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6</v>
      </c>
      <c r="AQ81">
        <v>1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1</v>
      </c>
      <c r="BC81">
        <v>7</v>
      </c>
      <c r="BD81">
        <v>3</v>
      </c>
      <c r="BE81">
        <v>2</v>
      </c>
      <c r="BF81">
        <v>1</v>
      </c>
      <c r="BG81">
        <v>0</v>
      </c>
      <c r="BH81">
        <v>0</v>
      </c>
      <c r="BI81">
        <v>0</v>
      </c>
      <c r="BJ81">
        <v>0</v>
      </c>
      <c r="BK81">
        <v>1</v>
      </c>
      <c r="BL81">
        <v>0</v>
      </c>
      <c r="BM81">
        <v>0</v>
      </c>
      <c r="BN81">
        <v>7</v>
      </c>
      <c r="BO81">
        <v>117</v>
      </c>
      <c r="BP81">
        <v>106</v>
      </c>
      <c r="BQ81">
        <v>0</v>
      </c>
      <c r="BR81">
        <v>1</v>
      </c>
      <c r="BS81">
        <v>0</v>
      </c>
      <c r="BT81">
        <v>2</v>
      </c>
      <c r="BU81">
        <v>0</v>
      </c>
      <c r="BV81">
        <v>8</v>
      </c>
      <c r="BW81">
        <v>0</v>
      </c>
      <c r="BX81">
        <v>0</v>
      </c>
      <c r="BY81">
        <v>0</v>
      </c>
      <c r="BZ81">
        <v>117</v>
      </c>
      <c r="CA81">
        <v>2</v>
      </c>
      <c r="CB81">
        <v>1</v>
      </c>
      <c r="CC81">
        <v>1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2</v>
      </c>
      <c r="CM81">
        <v>1</v>
      </c>
      <c r="CN81">
        <v>1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15</v>
      </c>
      <c r="CZ81">
        <v>8</v>
      </c>
      <c r="DA81">
        <v>3</v>
      </c>
      <c r="DB81">
        <v>1</v>
      </c>
      <c r="DC81">
        <v>1</v>
      </c>
      <c r="DD81">
        <v>1</v>
      </c>
      <c r="DE81">
        <v>1</v>
      </c>
      <c r="DF81">
        <v>0</v>
      </c>
      <c r="DG81">
        <v>0</v>
      </c>
      <c r="DH81">
        <v>0</v>
      </c>
      <c r="DI81">
        <v>0</v>
      </c>
      <c r="DJ81">
        <v>15</v>
      </c>
      <c r="DK81">
        <v>17</v>
      </c>
      <c r="DL81">
        <v>9</v>
      </c>
      <c r="DM81">
        <v>5</v>
      </c>
      <c r="DN81">
        <v>0</v>
      </c>
      <c r="DO81">
        <v>0</v>
      </c>
      <c r="DP81">
        <v>0</v>
      </c>
      <c r="DQ81">
        <v>0</v>
      </c>
      <c r="DR81">
        <v>3</v>
      </c>
      <c r="DS81">
        <v>0</v>
      </c>
      <c r="DT81">
        <v>0</v>
      </c>
      <c r="DU81">
        <v>0</v>
      </c>
      <c r="DV81">
        <v>17</v>
      </c>
      <c r="DW81">
        <v>14</v>
      </c>
      <c r="DX81">
        <v>10</v>
      </c>
      <c r="DY81">
        <v>2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2</v>
      </c>
      <c r="EF81">
        <v>0</v>
      </c>
      <c r="EG81">
        <v>0</v>
      </c>
      <c r="EH81">
        <v>14</v>
      </c>
      <c r="EI81">
        <v>1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1</v>
      </c>
      <c r="EP81">
        <v>0</v>
      </c>
      <c r="EQ81">
        <v>0</v>
      </c>
      <c r="ER81">
        <v>1</v>
      </c>
      <c r="ES81">
        <v>1</v>
      </c>
      <c r="ET81">
        <v>1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</v>
      </c>
      <c r="FE81">
        <v>1</v>
      </c>
      <c r="FF81">
        <v>1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1</v>
      </c>
    </row>
    <row r="82" spans="1:172" ht="14.25">
      <c r="A82">
        <v>77</v>
      </c>
      <c r="B82" t="str">
        <f>"100908"</f>
        <v>100908</v>
      </c>
      <c r="C82" t="str">
        <f>"Sulmierzyce"</f>
        <v>Sulmierzyce</v>
      </c>
      <c r="D82" t="str">
        <f t="shared" si="10"/>
        <v>pajęczański</v>
      </c>
      <c r="E82" t="str">
        <f t="shared" si="11"/>
        <v>łódzkie</v>
      </c>
      <c r="F82">
        <v>4</v>
      </c>
      <c r="G82" t="str">
        <f>"Gminna Biblioteka Publiczna im.Filipa Sulimierskiego, Słoneczna 5, 98-338 Sulmierzyce"</f>
        <v>Gminna Biblioteka Publiczna im.Filipa Sulimierskiego, Słoneczna 5, 98-338 Sulmierzyce</v>
      </c>
      <c r="H82">
        <v>961</v>
      </c>
      <c r="I82">
        <v>961</v>
      </c>
      <c r="J82">
        <v>0</v>
      </c>
      <c r="K82">
        <v>670</v>
      </c>
      <c r="L82">
        <v>428</v>
      </c>
      <c r="M82">
        <v>242</v>
      </c>
      <c r="N82">
        <v>242</v>
      </c>
      <c r="O82">
        <v>0</v>
      </c>
      <c r="P82">
        <v>0</v>
      </c>
      <c r="Q82">
        <v>2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242</v>
      </c>
      <c r="Z82">
        <v>0</v>
      </c>
      <c r="AA82">
        <v>0</v>
      </c>
      <c r="AB82">
        <v>242</v>
      </c>
      <c r="AC82">
        <v>10</v>
      </c>
      <c r="AD82">
        <v>232</v>
      </c>
      <c r="AE82">
        <v>20</v>
      </c>
      <c r="AF82">
        <v>7</v>
      </c>
      <c r="AG82">
        <v>2</v>
      </c>
      <c r="AH82">
        <v>3</v>
      </c>
      <c r="AI82">
        <v>1</v>
      </c>
      <c r="AJ82">
        <v>0</v>
      </c>
      <c r="AK82">
        <v>0</v>
      </c>
      <c r="AL82">
        <v>0</v>
      </c>
      <c r="AM82">
        <v>4</v>
      </c>
      <c r="AN82">
        <v>0</v>
      </c>
      <c r="AO82">
        <v>3</v>
      </c>
      <c r="AP82">
        <v>20</v>
      </c>
      <c r="AQ82">
        <v>7</v>
      </c>
      <c r="AR82">
        <v>1</v>
      </c>
      <c r="AS82">
        <v>5</v>
      </c>
      <c r="AT82">
        <v>0</v>
      </c>
      <c r="AU82">
        <v>0</v>
      </c>
      <c r="AV82">
        <v>1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7</v>
      </c>
      <c r="BC82">
        <v>31</v>
      </c>
      <c r="BD82">
        <v>8</v>
      </c>
      <c r="BE82">
        <v>2</v>
      </c>
      <c r="BF82">
        <v>2</v>
      </c>
      <c r="BG82">
        <v>0</v>
      </c>
      <c r="BH82">
        <v>0</v>
      </c>
      <c r="BI82">
        <v>3</v>
      </c>
      <c r="BJ82">
        <v>11</v>
      </c>
      <c r="BK82">
        <v>0</v>
      </c>
      <c r="BL82">
        <v>0</v>
      </c>
      <c r="BM82">
        <v>5</v>
      </c>
      <c r="BN82">
        <v>31</v>
      </c>
      <c r="BO82">
        <v>105</v>
      </c>
      <c r="BP82">
        <v>84</v>
      </c>
      <c r="BQ82">
        <v>3</v>
      </c>
      <c r="BR82">
        <v>1</v>
      </c>
      <c r="BS82">
        <v>2</v>
      </c>
      <c r="BT82">
        <v>2</v>
      </c>
      <c r="BU82">
        <v>0</v>
      </c>
      <c r="BV82">
        <v>12</v>
      </c>
      <c r="BW82">
        <v>1</v>
      </c>
      <c r="BX82">
        <v>0</v>
      </c>
      <c r="BY82">
        <v>0</v>
      </c>
      <c r="BZ82">
        <v>105</v>
      </c>
      <c r="CA82">
        <v>2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1</v>
      </c>
      <c r="CH82">
        <v>0</v>
      </c>
      <c r="CI82">
        <v>0</v>
      </c>
      <c r="CJ82">
        <v>1</v>
      </c>
      <c r="CK82">
        <v>0</v>
      </c>
      <c r="CL82">
        <v>2</v>
      </c>
      <c r="CM82">
        <v>2</v>
      </c>
      <c r="CN82">
        <v>1</v>
      </c>
      <c r="CO82">
        <v>0</v>
      </c>
      <c r="CP82">
        <v>0</v>
      </c>
      <c r="CQ82">
        <v>0</v>
      </c>
      <c r="CR82">
        <v>1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2</v>
      </c>
      <c r="CY82">
        <v>19</v>
      </c>
      <c r="CZ82">
        <v>11</v>
      </c>
      <c r="DA82">
        <v>3</v>
      </c>
      <c r="DB82">
        <v>0</v>
      </c>
      <c r="DC82">
        <v>0</v>
      </c>
      <c r="DD82">
        <v>2</v>
      </c>
      <c r="DE82">
        <v>0</v>
      </c>
      <c r="DF82">
        <v>1</v>
      </c>
      <c r="DG82">
        <v>1</v>
      </c>
      <c r="DH82">
        <v>1</v>
      </c>
      <c r="DI82">
        <v>0</v>
      </c>
      <c r="DJ82">
        <v>19</v>
      </c>
      <c r="DK82">
        <v>31</v>
      </c>
      <c r="DL82">
        <v>25</v>
      </c>
      <c r="DM82">
        <v>2</v>
      </c>
      <c r="DN82">
        <v>0</v>
      </c>
      <c r="DO82">
        <v>2</v>
      </c>
      <c r="DP82">
        <v>0</v>
      </c>
      <c r="DQ82">
        <v>1</v>
      </c>
      <c r="DR82">
        <v>1</v>
      </c>
      <c r="DS82">
        <v>0</v>
      </c>
      <c r="DT82">
        <v>0</v>
      </c>
      <c r="DU82">
        <v>0</v>
      </c>
      <c r="DV82">
        <v>31</v>
      </c>
      <c r="DW82">
        <v>11</v>
      </c>
      <c r="DX82">
        <v>6</v>
      </c>
      <c r="DY82">
        <v>0</v>
      </c>
      <c r="DZ82">
        <v>1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2</v>
      </c>
      <c r="EG82">
        <v>2</v>
      </c>
      <c r="EH82">
        <v>11</v>
      </c>
      <c r="EI82">
        <v>1</v>
      </c>
      <c r="EJ82">
        <v>0</v>
      </c>
      <c r="EK82">
        <v>1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1</v>
      </c>
      <c r="ES82">
        <v>1</v>
      </c>
      <c r="ET82">
        <v>1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1</v>
      </c>
      <c r="FE82">
        <v>2</v>
      </c>
      <c r="FF82">
        <v>0</v>
      </c>
      <c r="FG82">
        <v>1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1</v>
      </c>
      <c r="FP82">
        <v>2</v>
      </c>
    </row>
    <row r="83" spans="1:172" ht="14.25">
      <c r="A83">
        <v>78</v>
      </c>
      <c r="B83" t="str">
        <f>"100908"</f>
        <v>100908</v>
      </c>
      <c r="C83" t="str">
        <f>"Sulmierzyce"</f>
        <v>Sulmierzyce</v>
      </c>
      <c r="D83" t="str">
        <f t="shared" si="10"/>
        <v>pajęczański</v>
      </c>
      <c r="E83" t="str">
        <f t="shared" si="11"/>
        <v>łódzkie</v>
      </c>
      <c r="F83">
        <v>5</v>
      </c>
      <c r="G83" t="str">
        <f>"Rolnicza Spółdzielnia Produkcyjna w Chorzenicach, Chorzenice 108, 98-338 Sulmierzyce"</f>
        <v>Rolnicza Spółdzielnia Produkcyjna w Chorzenicach, Chorzenice 108, 98-338 Sulmierzyce</v>
      </c>
      <c r="H83">
        <v>537</v>
      </c>
      <c r="I83">
        <v>537</v>
      </c>
      <c r="J83">
        <v>0</v>
      </c>
      <c r="K83">
        <v>379</v>
      </c>
      <c r="L83">
        <v>304</v>
      </c>
      <c r="M83">
        <v>75</v>
      </c>
      <c r="N83">
        <v>75</v>
      </c>
      <c r="O83">
        <v>0</v>
      </c>
      <c r="P83">
        <v>0</v>
      </c>
      <c r="Q83">
        <v>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75</v>
      </c>
      <c r="Z83">
        <v>0</v>
      </c>
      <c r="AA83">
        <v>0</v>
      </c>
      <c r="AB83">
        <v>75</v>
      </c>
      <c r="AC83">
        <v>1</v>
      </c>
      <c r="AD83">
        <v>74</v>
      </c>
      <c r="AE83">
        <v>2</v>
      </c>
      <c r="AF83">
        <v>1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2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16</v>
      </c>
      <c r="BD83">
        <v>3</v>
      </c>
      <c r="BE83">
        <v>1</v>
      </c>
      <c r="BF83">
        <v>0</v>
      </c>
      <c r="BG83">
        <v>0</v>
      </c>
      <c r="BH83">
        <v>0</v>
      </c>
      <c r="BI83">
        <v>0</v>
      </c>
      <c r="BJ83">
        <v>7</v>
      </c>
      <c r="BK83">
        <v>0</v>
      </c>
      <c r="BL83">
        <v>1</v>
      </c>
      <c r="BM83">
        <v>4</v>
      </c>
      <c r="BN83">
        <v>16</v>
      </c>
      <c r="BO83">
        <v>36</v>
      </c>
      <c r="BP83">
        <v>21</v>
      </c>
      <c r="BQ83">
        <v>1</v>
      </c>
      <c r="BR83">
        <v>1</v>
      </c>
      <c r="BS83">
        <v>2</v>
      </c>
      <c r="BT83">
        <v>0</v>
      </c>
      <c r="BU83">
        <v>0</v>
      </c>
      <c r="BV83">
        <v>10</v>
      </c>
      <c r="BW83">
        <v>1</v>
      </c>
      <c r="BX83">
        <v>0</v>
      </c>
      <c r="BY83">
        <v>0</v>
      </c>
      <c r="BZ83">
        <v>36</v>
      </c>
      <c r="CA83">
        <v>2</v>
      </c>
      <c r="CB83">
        <v>2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2</v>
      </c>
      <c r="CM83">
        <v>1</v>
      </c>
      <c r="CN83">
        <v>0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1</v>
      </c>
      <c r="CY83">
        <v>8</v>
      </c>
      <c r="CZ83">
        <v>6</v>
      </c>
      <c r="DA83">
        <v>0</v>
      </c>
      <c r="DB83">
        <v>1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1</v>
      </c>
      <c r="DJ83">
        <v>8</v>
      </c>
      <c r="DK83">
        <v>4</v>
      </c>
      <c r="DL83">
        <v>1</v>
      </c>
      <c r="DM83">
        <v>1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2</v>
      </c>
      <c r="DU83">
        <v>0</v>
      </c>
      <c r="DV83">
        <v>4</v>
      </c>
      <c r="DW83">
        <v>2</v>
      </c>
      <c r="DX83">
        <v>1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1</v>
      </c>
      <c r="EE83">
        <v>0</v>
      </c>
      <c r="EF83">
        <v>0</v>
      </c>
      <c r="EG83">
        <v>0</v>
      </c>
      <c r="EH83">
        <v>2</v>
      </c>
      <c r="EI83">
        <v>1</v>
      </c>
      <c r="EJ83">
        <v>0</v>
      </c>
      <c r="EK83">
        <v>1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1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2</v>
      </c>
      <c r="FF83">
        <v>1</v>
      </c>
      <c r="FG83">
        <v>0</v>
      </c>
      <c r="FH83">
        <v>0</v>
      </c>
      <c r="FI83">
        <v>1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2</v>
      </c>
    </row>
    <row r="84" spans="1:172" ht="14.25">
      <c r="A84">
        <v>79</v>
      </c>
      <c r="B84" t="str">
        <f>"101101"</f>
        <v>101101</v>
      </c>
      <c r="C84" t="str">
        <f>"Dalików"</f>
        <v>Dalików</v>
      </c>
      <c r="D84" t="str">
        <f aca="true" t="shared" si="12" ref="D84:D115">"poddębicki"</f>
        <v>poddębicki</v>
      </c>
      <c r="E84" t="str">
        <f t="shared" si="11"/>
        <v>łódzkie</v>
      </c>
      <c r="F84">
        <v>1</v>
      </c>
      <c r="G84" t="str">
        <f>"Zespół Szkół w Dalikowie, Łęczycka 3, 99-205 Dalików"</f>
        <v>Zespół Szkół w Dalikowie, Łęczycka 3, 99-205 Dalików</v>
      </c>
      <c r="H84">
        <v>1239</v>
      </c>
      <c r="I84">
        <v>1239</v>
      </c>
      <c r="J84">
        <v>0</v>
      </c>
      <c r="K84">
        <v>870</v>
      </c>
      <c r="L84">
        <v>602</v>
      </c>
      <c r="M84">
        <v>268</v>
      </c>
      <c r="N84">
        <v>268</v>
      </c>
      <c r="O84">
        <v>0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268</v>
      </c>
      <c r="Z84">
        <v>0</v>
      </c>
      <c r="AA84">
        <v>0</v>
      </c>
      <c r="AB84">
        <v>268</v>
      </c>
      <c r="AC84">
        <v>14</v>
      </c>
      <c r="AD84">
        <v>254</v>
      </c>
      <c r="AE84">
        <v>4</v>
      </c>
      <c r="AF84">
        <v>1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2</v>
      </c>
      <c r="AM84">
        <v>1</v>
      </c>
      <c r="AN84">
        <v>0</v>
      </c>
      <c r="AO84">
        <v>0</v>
      </c>
      <c r="AP84">
        <v>4</v>
      </c>
      <c r="AQ84">
        <v>6</v>
      </c>
      <c r="AR84">
        <v>4</v>
      </c>
      <c r="AS84">
        <v>1</v>
      </c>
      <c r="AT84">
        <v>0</v>
      </c>
      <c r="AU84">
        <v>1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6</v>
      </c>
      <c r="BC84">
        <v>3</v>
      </c>
      <c r="BD84">
        <v>2</v>
      </c>
      <c r="BE84">
        <v>0</v>
      </c>
      <c r="BF84">
        <v>0</v>
      </c>
      <c r="BG84">
        <v>1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3</v>
      </c>
      <c r="BO84">
        <v>77</v>
      </c>
      <c r="BP84">
        <v>44</v>
      </c>
      <c r="BQ84">
        <v>1</v>
      </c>
      <c r="BR84">
        <v>3</v>
      </c>
      <c r="BS84">
        <v>26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3</v>
      </c>
      <c r="BZ84">
        <v>77</v>
      </c>
      <c r="CA84">
        <v>4</v>
      </c>
      <c r="CB84">
        <v>2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1</v>
      </c>
      <c r="CJ84">
        <v>1</v>
      </c>
      <c r="CK84">
        <v>0</v>
      </c>
      <c r="CL84">
        <v>4</v>
      </c>
      <c r="CM84">
        <v>76</v>
      </c>
      <c r="CN84">
        <v>1</v>
      </c>
      <c r="CO84">
        <v>0</v>
      </c>
      <c r="CP84">
        <v>0</v>
      </c>
      <c r="CQ84">
        <v>0</v>
      </c>
      <c r="CR84">
        <v>75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76</v>
      </c>
      <c r="CY84">
        <v>19</v>
      </c>
      <c r="CZ84">
        <v>7</v>
      </c>
      <c r="DA84">
        <v>1</v>
      </c>
      <c r="DB84">
        <v>1</v>
      </c>
      <c r="DC84">
        <v>0</v>
      </c>
      <c r="DD84">
        <v>0</v>
      </c>
      <c r="DE84">
        <v>4</v>
      </c>
      <c r="DF84">
        <v>1</v>
      </c>
      <c r="DG84">
        <v>3</v>
      </c>
      <c r="DH84">
        <v>2</v>
      </c>
      <c r="DI84">
        <v>0</v>
      </c>
      <c r="DJ84">
        <v>19</v>
      </c>
      <c r="DK84">
        <v>34</v>
      </c>
      <c r="DL84">
        <v>22</v>
      </c>
      <c r="DM84">
        <v>10</v>
      </c>
      <c r="DN84">
        <v>0</v>
      </c>
      <c r="DO84">
        <v>1</v>
      </c>
      <c r="DP84">
        <v>1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34</v>
      </c>
      <c r="DW84">
        <v>30</v>
      </c>
      <c r="DX84">
        <v>7</v>
      </c>
      <c r="DY84">
        <v>2</v>
      </c>
      <c r="DZ84">
        <v>1</v>
      </c>
      <c r="EA84">
        <v>15</v>
      </c>
      <c r="EB84">
        <v>0</v>
      </c>
      <c r="EC84">
        <v>3</v>
      </c>
      <c r="ED84">
        <v>1</v>
      </c>
      <c r="EE84">
        <v>0</v>
      </c>
      <c r="EF84">
        <v>0</v>
      </c>
      <c r="EG84">
        <v>1</v>
      </c>
      <c r="EH84">
        <v>30</v>
      </c>
      <c r="EI84">
        <v>1</v>
      </c>
      <c r="EJ84">
        <v>0</v>
      </c>
      <c r="EK84">
        <v>0</v>
      </c>
      <c r="EL84">
        <v>0</v>
      </c>
      <c r="EM84">
        <v>0</v>
      </c>
      <c r="EN84">
        <v>1</v>
      </c>
      <c r="EO84">
        <v>0</v>
      </c>
      <c r="EP84">
        <v>0</v>
      </c>
      <c r="EQ84">
        <v>0</v>
      </c>
      <c r="ER84">
        <v>1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</row>
    <row r="85" spans="1:172" ht="14.25">
      <c r="A85">
        <v>80</v>
      </c>
      <c r="B85" t="str">
        <f>"101101"</f>
        <v>101101</v>
      </c>
      <c r="C85" t="str">
        <f>"Dalików"</f>
        <v>Dalików</v>
      </c>
      <c r="D85" t="str">
        <f t="shared" si="12"/>
        <v>poddębicki</v>
      </c>
      <c r="E85" t="str">
        <f t="shared" si="11"/>
        <v>łódzkie</v>
      </c>
      <c r="F85">
        <v>2</v>
      </c>
      <c r="G85" t="str">
        <f>"Zespół Szkół w Domaniewie, Domaniew 42, 99-205 Dalików"</f>
        <v>Zespół Szkół w Domaniewie, Domaniew 42, 99-205 Dalików</v>
      </c>
      <c r="H85">
        <v>549</v>
      </c>
      <c r="I85">
        <v>549</v>
      </c>
      <c r="J85">
        <v>0</v>
      </c>
      <c r="K85">
        <v>389</v>
      </c>
      <c r="L85">
        <v>273</v>
      </c>
      <c r="M85">
        <v>116</v>
      </c>
      <c r="N85">
        <v>116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116</v>
      </c>
      <c r="Z85">
        <v>0</v>
      </c>
      <c r="AA85">
        <v>0</v>
      </c>
      <c r="AB85">
        <v>116</v>
      </c>
      <c r="AC85">
        <v>5</v>
      </c>
      <c r="AD85">
        <v>111</v>
      </c>
      <c r="AE85">
        <v>3</v>
      </c>
      <c r="AF85">
        <v>0</v>
      </c>
      <c r="AG85">
        <v>2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1</v>
      </c>
      <c r="AN85">
        <v>0</v>
      </c>
      <c r="AO85">
        <v>0</v>
      </c>
      <c r="AP85">
        <v>3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1</v>
      </c>
      <c r="AX85">
        <v>0</v>
      </c>
      <c r="AY85">
        <v>0</v>
      </c>
      <c r="AZ85">
        <v>0</v>
      </c>
      <c r="BA85">
        <v>0</v>
      </c>
      <c r="BB85">
        <v>1</v>
      </c>
      <c r="BC85">
        <v>1</v>
      </c>
      <c r="BD85">
        <v>0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1</v>
      </c>
      <c r="BO85">
        <v>49</v>
      </c>
      <c r="BP85">
        <v>26</v>
      </c>
      <c r="BQ85">
        <v>2</v>
      </c>
      <c r="BR85">
        <v>0</v>
      </c>
      <c r="BS85">
        <v>18</v>
      </c>
      <c r="BT85">
        <v>0</v>
      </c>
      <c r="BU85">
        <v>0</v>
      </c>
      <c r="BV85">
        <v>0</v>
      </c>
      <c r="BW85">
        <v>0</v>
      </c>
      <c r="BX85">
        <v>1</v>
      </c>
      <c r="BY85">
        <v>2</v>
      </c>
      <c r="BZ85">
        <v>49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13</v>
      </c>
      <c r="CN85">
        <v>0</v>
      </c>
      <c r="CO85">
        <v>0</v>
      </c>
      <c r="CP85">
        <v>0</v>
      </c>
      <c r="CQ85">
        <v>2</v>
      </c>
      <c r="CR85">
        <v>11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13</v>
      </c>
      <c r="CY85">
        <v>2</v>
      </c>
      <c r="CZ85">
        <v>2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2</v>
      </c>
      <c r="DK85">
        <v>19</v>
      </c>
      <c r="DL85">
        <v>9</v>
      </c>
      <c r="DM85">
        <v>5</v>
      </c>
      <c r="DN85">
        <v>0</v>
      </c>
      <c r="DO85">
        <v>2</v>
      </c>
      <c r="DP85">
        <v>3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19</v>
      </c>
      <c r="DW85">
        <v>21</v>
      </c>
      <c r="DX85">
        <v>7</v>
      </c>
      <c r="DY85">
        <v>0</v>
      </c>
      <c r="DZ85">
        <v>0</v>
      </c>
      <c r="EA85">
        <v>7</v>
      </c>
      <c r="EB85">
        <v>0</v>
      </c>
      <c r="EC85">
        <v>2</v>
      </c>
      <c r="ED85">
        <v>2</v>
      </c>
      <c r="EE85">
        <v>2</v>
      </c>
      <c r="EF85">
        <v>1</v>
      </c>
      <c r="EG85">
        <v>0</v>
      </c>
      <c r="EH85">
        <v>21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2</v>
      </c>
      <c r="ET85">
        <v>0</v>
      </c>
      <c r="EU85">
        <v>0</v>
      </c>
      <c r="EV85">
        <v>1</v>
      </c>
      <c r="EW85">
        <v>1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2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</row>
    <row r="86" spans="1:172" ht="14.25">
      <c r="A86">
        <v>81</v>
      </c>
      <c r="B86" t="str">
        <f>"101101"</f>
        <v>101101</v>
      </c>
      <c r="C86" t="str">
        <f>"Dalików"</f>
        <v>Dalików</v>
      </c>
      <c r="D86" t="str">
        <f t="shared" si="12"/>
        <v>poddębicki</v>
      </c>
      <c r="E86" t="str">
        <f t="shared" si="11"/>
        <v>łódzkie</v>
      </c>
      <c r="F86">
        <v>3</v>
      </c>
      <c r="G86" t="str">
        <f>"Remiza Ochotniczej Straży Pożarnej w Kucinach, Kuciny 23, 99-205 Dalików"</f>
        <v>Remiza Ochotniczej Straży Pożarnej w Kucinach, Kuciny 23, 99-205 Dalików</v>
      </c>
      <c r="H86">
        <v>520</v>
      </c>
      <c r="I86">
        <v>520</v>
      </c>
      <c r="J86">
        <v>0</v>
      </c>
      <c r="K86">
        <v>360</v>
      </c>
      <c r="L86">
        <v>275</v>
      </c>
      <c r="M86">
        <v>85</v>
      </c>
      <c r="N86">
        <v>85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85</v>
      </c>
      <c r="Z86">
        <v>0</v>
      </c>
      <c r="AA86">
        <v>0</v>
      </c>
      <c r="AB86">
        <v>85</v>
      </c>
      <c r="AC86">
        <v>6</v>
      </c>
      <c r="AD86">
        <v>79</v>
      </c>
      <c r="AE86">
        <v>8</v>
      </c>
      <c r="AF86">
        <v>8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8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1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1</v>
      </c>
      <c r="BO86">
        <v>32</v>
      </c>
      <c r="BP86">
        <v>21</v>
      </c>
      <c r="BQ86">
        <v>4</v>
      </c>
      <c r="BR86">
        <v>0</v>
      </c>
      <c r="BS86">
        <v>6</v>
      </c>
      <c r="BT86">
        <v>0</v>
      </c>
      <c r="BU86">
        <v>0</v>
      </c>
      <c r="BV86">
        <v>1</v>
      </c>
      <c r="BW86">
        <v>0</v>
      </c>
      <c r="BX86">
        <v>0</v>
      </c>
      <c r="BY86">
        <v>0</v>
      </c>
      <c r="BZ86">
        <v>32</v>
      </c>
      <c r="CA86">
        <v>2</v>
      </c>
      <c r="CB86">
        <v>1</v>
      </c>
      <c r="CC86">
        <v>0</v>
      </c>
      <c r="CD86">
        <v>1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2</v>
      </c>
      <c r="CM86">
        <v>13</v>
      </c>
      <c r="CN86">
        <v>0</v>
      </c>
      <c r="CO86">
        <v>1</v>
      </c>
      <c r="CP86">
        <v>0</v>
      </c>
      <c r="CQ86">
        <v>0</v>
      </c>
      <c r="CR86">
        <v>12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13</v>
      </c>
      <c r="CY86">
        <v>5</v>
      </c>
      <c r="CZ86">
        <v>2</v>
      </c>
      <c r="DA86">
        <v>1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2</v>
      </c>
      <c r="DI86">
        <v>0</v>
      </c>
      <c r="DJ86">
        <v>5</v>
      </c>
      <c r="DK86">
        <v>11</v>
      </c>
      <c r="DL86">
        <v>7</v>
      </c>
      <c r="DM86">
        <v>3</v>
      </c>
      <c r="DN86">
        <v>0</v>
      </c>
      <c r="DO86">
        <v>0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11</v>
      </c>
      <c r="DW86">
        <v>7</v>
      </c>
      <c r="DX86">
        <v>4</v>
      </c>
      <c r="DY86">
        <v>0</v>
      </c>
      <c r="DZ86">
        <v>0</v>
      </c>
      <c r="EA86">
        <v>2</v>
      </c>
      <c r="EB86">
        <v>0</v>
      </c>
      <c r="EC86">
        <v>1</v>
      </c>
      <c r="ED86">
        <v>0</v>
      </c>
      <c r="EE86">
        <v>0</v>
      </c>
      <c r="EF86">
        <v>0</v>
      </c>
      <c r="EG86">
        <v>0</v>
      </c>
      <c r="EH86">
        <v>7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</row>
    <row r="87" spans="1:172" ht="14.25">
      <c r="A87">
        <v>82</v>
      </c>
      <c r="B87" t="str">
        <f>"101101"</f>
        <v>101101</v>
      </c>
      <c r="C87" t="str">
        <f>"Dalików"</f>
        <v>Dalików</v>
      </c>
      <c r="D87" t="str">
        <f t="shared" si="12"/>
        <v>poddębicki</v>
      </c>
      <c r="E87" t="str">
        <f t="shared" si="11"/>
        <v>łódzkie</v>
      </c>
      <c r="F87">
        <v>4</v>
      </c>
      <c r="G87" t="str">
        <f>"Remiza Ochotniczej Straży Pożarnej w Budzynku, Budzynek 25, 99-205 Dalików"</f>
        <v>Remiza Ochotniczej Straży Pożarnej w Budzynku, Budzynek 25, 99-205 Dalików</v>
      </c>
      <c r="H87">
        <v>406</v>
      </c>
      <c r="I87">
        <v>406</v>
      </c>
      <c r="J87">
        <v>0</v>
      </c>
      <c r="K87">
        <v>280</v>
      </c>
      <c r="L87">
        <v>183</v>
      </c>
      <c r="M87">
        <v>97</v>
      </c>
      <c r="N87">
        <v>97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97</v>
      </c>
      <c r="Z87">
        <v>0</v>
      </c>
      <c r="AA87">
        <v>0</v>
      </c>
      <c r="AB87">
        <v>97</v>
      </c>
      <c r="AC87">
        <v>0</v>
      </c>
      <c r="AD87">
        <v>97</v>
      </c>
      <c r="AE87">
        <v>1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3</v>
      </c>
      <c r="BD87">
        <v>3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3</v>
      </c>
      <c r="BO87">
        <v>38</v>
      </c>
      <c r="BP87">
        <v>21</v>
      </c>
      <c r="BQ87">
        <v>3</v>
      </c>
      <c r="BR87">
        <v>0</v>
      </c>
      <c r="BS87">
        <v>14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38</v>
      </c>
      <c r="CA87">
        <v>3</v>
      </c>
      <c r="CB87">
        <v>1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2</v>
      </c>
      <c r="CL87">
        <v>3</v>
      </c>
      <c r="CM87">
        <v>18</v>
      </c>
      <c r="CN87">
        <v>1</v>
      </c>
      <c r="CO87">
        <v>1</v>
      </c>
      <c r="CP87">
        <v>0</v>
      </c>
      <c r="CQ87">
        <v>0</v>
      </c>
      <c r="CR87">
        <v>15</v>
      </c>
      <c r="CS87">
        <v>0</v>
      </c>
      <c r="CT87">
        <v>0</v>
      </c>
      <c r="CU87">
        <v>0</v>
      </c>
      <c r="CV87">
        <v>1</v>
      </c>
      <c r="CW87">
        <v>0</v>
      </c>
      <c r="CX87">
        <v>18</v>
      </c>
      <c r="CY87">
        <v>2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1</v>
      </c>
      <c r="DG87">
        <v>0</v>
      </c>
      <c r="DH87">
        <v>0</v>
      </c>
      <c r="DI87">
        <v>0</v>
      </c>
      <c r="DJ87">
        <v>2</v>
      </c>
      <c r="DK87">
        <v>4</v>
      </c>
      <c r="DL87">
        <v>0</v>
      </c>
      <c r="DM87">
        <v>4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4</v>
      </c>
      <c r="DW87">
        <v>26</v>
      </c>
      <c r="DX87">
        <v>4</v>
      </c>
      <c r="DY87">
        <v>3</v>
      </c>
      <c r="DZ87">
        <v>0</v>
      </c>
      <c r="EA87">
        <v>5</v>
      </c>
      <c r="EB87">
        <v>0</v>
      </c>
      <c r="EC87">
        <v>0</v>
      </c>
      <c r="ED87">
        <v>0</v>
      </c>
      <c r="EE87">
        <v>7</v>
      </c>
      <c r="EF87">
        <v>7</v>
      </c>
      <c r="EG87">
        <v>0</v>
      </c>
      <c r="EH87">
        <v>26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1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1</v>
      </c>
      <c r="EZ87">
        <v>0</v>
      </c>
      <c r="FA87">
        <v>0</v>
      </c>
      <c r="FB87">
        <v>0</v>
      </c>
      <c r="FC87">
        <v>0</v>
      </c>
      <c r="FD87">
        <v>1</v>
      </c>
      <c r="FE87">
        <v>1</v>
      </c>
      <c r="FF87">
        <v>0</v>
      </c>
      <c r="FG87">
        <v>0</v>
      </c>
      <c r="FH87">
        <v>0</v>
      </c>
      <c r="FI87">
        <v>1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1</v>
      </c>
    </row>
    <row r="88" spans="1:172" ht="14.25">
      <c r="A88">
        <v>83</v>
      </c>
      <c r="B88" t="str">
        <f>"101101"</f>
        <v>101101</v>
      </c>
      <c r="C88" t="str">
        <f>"Dalików"</f>
        <v>Dalików</v>
      </c>
      <c r="D88" t="str">
        <f t="shared" si="12"/>
        <v>poddębicki</v>
      </c>
      <c r="E88" t="str">
        <f t="shared" si="11"/>
        <v>łódzkie</v>
      </c>
      <c r="F88">
        <v>5</v>
      </c>
      <c r="G88" t="str">
        <f>"Budynek po byłej Szkole Podstawowej w Wilczycy, Wilczyca 23, 99-205 Dalików"</f>
        <v>Budynek po byłej Szkole Podstawowej w Wilczycy, Wilczyca 23, 99-205 Dalików</v>
      </c>
      <c r="H88">
        <v>396</v>
      </c>
      <c r="I88">
        <v>396</v>
      </c>
      <c r="J88">
        <v>0</v>
      </c>
      <c r="K88">
        <v>279</v>
      </c>
      <c r="L88">
        <v>204</v>
      </c>
      <c r="M88">
        <v>75</v>
      </c>
      <c r="N88">
        <v>75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75</v>
      </c>
      <c r="Z88">
        <v>0</v>
      </c>
      <c r="AA88">
        <v>0</v>
      </c>
      <c r="AB88">
        <v>75</v>
      </c>
      <c r="AC88">
        <v>5</v>
      </c>
      <c r="AD88">
        <v>70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</v>
      </c>
      <c r="BA88">
        <v>0</v>
      </c>
      <c r="BB88">
        <v>1</v>
      </c>
      <c r="BC88">
        <v>6</v>
      </c>
      <c r="BD88">
        <v>6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6</v>
      </c>
      <c r="BO88">
        <v>22</v>
      </c>
      <c r="BP88">
        <v>13</v>
      </c>
      <c r="BQ88">
        <v>1</v>
      </c>
      <c r="BR88">
        <v>0</v>
      </c>
      <c r="BS88">
        <v>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22</v>
      </c>
      <c r="CA88">
        <v>2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2</v>
      </c>
      <c r="CK88">
        <v>0</v>
      </c>
      <c r="CL88">
        <v>2</v>
      </c>
      <c r="CM88">
        <v>9</v>
      </c>
      <c r="CN88">
        <v>0</v>
      </c>
      <c r="CO88">
        <v>0</v>
      </c>
      <c r="CP88">
        <v>1</v>
      </c>
      <c r="CQ88">
        <v>0</v>
      </c>
      <c r="CR88">
        <v>8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9</v>
      </c>
      <c r="CY88">
        <v>6</v>
      </c>
      <c r="CZ88">
        <v>2</v>
      </c>
      <c r="DA88">
        <v>1</v>
      </c>
      <c r="DB88">
        <v>1</v>
      </c>
      <c r="DC88">
        <v>1</v>
      </c>
      <c r="DD88">
        <v>0</v>
      </c>
      <c r="DE88">
        <v>0</v>
      </c>
      <c r="DF88">
        <v>1</v>
      </c>
      <c r="DG88">
        <v>0</v>
      </c>
      <c r="DH88">
        <v>0</v>
      </c>
      <c r="DI88">
        <v>0</v>
      </c>
      <c r="DJ88">
        <v>6</v>
      </c>
      <c r="DK88">
        <v>5</v>
      </c>
      <c r="DL88">
        <v>4</v>
      </c>
      <c r="DM88">
        <v>0</v>
      </c>
      <c r="DN88">
        <v>0</v>
      </c>
      <c r="DO88">
        <v>1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5</v>
      </c>
      <c r="DW88">
        <v>17</v>
      </c>
      <c r="DX88">
        <v>3</v>
      </c>
      <c r="DY88">
        <v>2</v>
      </c>
      <c r="DZ88">
        <v>1</v>
      </c>
      <c r="EA88">
        <v>5</v>
      </c>
      <c r="EB88">
        <v>0</v>
      </c>
      <c r="EC88">
        <v>2</v>
      </c>
      <c r="ED88">
        <v>2</v>
      </c>
      <c r="EE88">
        <v>0</v>
      </c>
      <c r="EF88">
        <v>2</v>
      </c>
      <c r="EG88">
        <v>0</v>
      </c>
      <c r="EH88">
        <v>17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1</v>
      </c>
      <c r="ET88">
        <v>0</v>
      </c>
      <c r="EU88">
        <v>1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1</v>
      </c>
      <c r="FE88">
        <v>1</v>
      </c>
      <c r="FF88">
        <v>0</v>
      </c>
      <c r="FG88">
        <v>0</v>
      </c>
      <c r="FH88">
        <v>0</v>
      </c>
      <c r="FI88">
        <v>0</v>
      </c>
      <c r="FJ88">
        <v>1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1</v>
      </c>
    </row>
    <row r="89" spans="1:172" ht="14.25">
      <c r="A89">
        <v>84</v>
      </c>
      <c r="B89" t="str">
        <f>"101102"</f>
        <v>101102</v>
      </c>
      <c r="C89" t="str">
        <f>"Pęczniew"</f>
        <v>Pęczniew</v>
      </c>
      <c r="D89" t="str">
        <f t="shared" si="12"/>
        <v>poddębicki</v>
      </c>
      <c r="E89" t="str">
        <f t="shared" si="11"/>
        <v>łódzkie</v>
      </c>
      <c r="F89">
        <v>1</v>
      </c>
      <c r="G89" t="str">
        <f>"Gimnazjum Nr 1, Główna 17, 99-235 Pęczniew"</f>
        <v>Gimnazjum Nr 1, Główna 17, 99-235 Pęczniew</v>
      </c>
      <c r="H89">
        <v>1318</v>
      </c>
      <c r="I89">
        <v>1318</v>
      </c>
      <c r="J89">
        <v>0</v>
      </c>
      <c r="K89">
        <v>920</v>
      </c>
      <c r="L89">
        <v>604</v>
      </c>
      <c r="M89">
        <v>316</v>
      </c>
      <c r="N89">
        <v>316</v>
      </c>
      <c r="O89">
        <v>0</v>
      </c>
      <c r="P89">
        <v>0</v>
      </c>
      <c r="Q89">
        <v>9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316</v>
      </c>
      <c r="Z89">
        <v>0</v>
      </c>
      <c r="AA89">
        <v>0</v>
      </c>
      <c r="AB89">
        <v>316</v>
      </c>
      <c r="AC89">
        <v>25</v>
      </c>
      <c r="AD89">
        <v>291</v>
      </c>
      <c r="AE89">
        <v>5</v>
      </c>
      <c r="AF89">
        <v>1</v>
      </c>
      <c r="AG89">
        <v>0</v>
      </c>
      <c r="AH89">
        <v>0</v>
      </c>
      <c r="AI89">
        <v>0</v>
      </c>
      <c r="AJ89">
        <v>0</v>
      </c>
      <c r="AK89">
        <v>1</v>
      </c>
      <c r="AL89">
        <v>3</v>
      </c>
      <c r="AM89">
        <v>0</v>
      </c>
      <c r="AN89">
        <v>0</v>
      </c>
      <c r="AO89">
        <v>0</v>
      </c>
      <c r="AP89">
        <v>5</v>
      </c>
      <c r="AQ89">
        <v>3</v>
      </c>
      <c r="AR89">
        <v>1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0</v>
      </c>
      <c r="BB89">
        <v>3</v>
      </c>
      <c r="BC89">
        <v>23</v>
      </c>
      <c r="BD89">
        <v>11</v>
      </c>
      <c r="BE89">
        <v>5</v>
      </c>
      <c r="BF89">
        <v>2</v>
      </c>
      <c r="BG89">
        <v>0</v>
      </c>
      <c r="BH89">
        <v>0</v>
      </c>
      <c r="BI89">
        <v>3</v>
      </c>
      <c r="BJ89">
        <v>0</v>
      </c>
      <c r="BK89">
        <v>0</v>
      </c>
      <c r="BL89">
        <v>0</v>
      </c>
      <c r="BM89">
        <v>2</v>
      </c>
      <c r="BN89">
        <v>23</v>
      </c>
      <c r="BO89">
        <v>115</v>
      </c>
      <c r="BP89">
        <v>37</v>
      </c>
      <c r="BQ89">
        <v>2</v>
      </c>
      <c r="BR89">
        <v>0</v>
      </c>
      <c r="BS89">
        <v>73</v>
      </c>
      <c r="BT89">
        <v>0</v>
      </c>
      <c r="BU89">
        <v>2</v>
      </c>
      <c r="BV89">
        <v>0</v>
      </c>
      <c r="BW89">
        <v>0</v>
      </c>
      <c r="BX89">
        <v>1</v>
      </c>
      <c r="BY89">
        <v>0</v>
      </c>
      <c r="BZ89">
        <v>115</v>
      </c>
      <c r="CA89">
        <v>11</v>
      </c>
      <c r="CB89">
        <v>0</v>
      </c>
      <c r="CC89">
        <v>2</v>
      </c>
      <c r="CD89">
        <v>0</v>
      </c>
      <c r="CE89">
        <v>0</v>
      </c>
      <c r="CF89">
        <v>1</v>
      </c>
      <c r="CG89">
        <v>0</v>
      </c>
      <c r="CH89">
        <v>0</v>
      </c>
      <c r="CI89">
        <v>0</v>
      </c>
      <c r="CJ89">
        <v>3</v>
      </c>
      <c r="CK89">
        <v>5</v>
      </c>
      <c r="CL89">
        <v>11</v>
      </c>
      <c r="CM89">
        <v>3</v>
      </c>
      <c r="CN89">
        <v>1</v>
      </c>
      <c r="CO89">
        <v>0</v>
      </c>
      <c r="CP89">
        <v>0</v>
      </c>
      <c r="CQ89">
        <v>0</v>
      </c>
      <c r="CR89">
        <v>2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3</v>
      </c>
      <c r="CY89">
        <v>13</v>
      </c>
      <c r="CZ89">
        <v>10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1</v>
      </c>
      <c r="DH89">
        <v>2</v>
      </c>
      <c r="DI89">
        <v>0</v>
      </c>
      <c r="DJ89">
        <v>13</v>
      </c>
      <c r="DK89">
        <v>96</v>
      </c>
      <c r="DL89">
        <v>25</v>
      </c>
      <c r="DM89">
        <v>9</v>
      </c>
      <c r="DN89">
        <v>0</v>
      </c>
      <c r="DO89">
        <v>61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96</v>
      </c>
      <c r="DW89">
        <v>16</v>
      </c>
      <c r="DX89">
        <v>4</v>
      </c>
      <c r="DY89">
        <v>4</v>
      </c>
      <c r="DZ89">
        <v>0</v>
      </c>
      <c r="EA89">
        <v>4</v>
      </c>
      <c r="EB89">
        <v>0</v>
      </c>
      <c r="EC89">
        <v>3</v>
      </c>
      <c r="ED89">
        <v>1</v>
      </c>
      <c r="EE89">
        <v>0</v>
      </c>
      <c r="EF89">
        <v>0</v>
      </c>
      <c r="EG89">
        <v>0</v>
      </c>
      <c r="EH89">
        <v>16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4</v>
      </c>
      <c r="ET89">
        <v>3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1</v>
      </c>
      <c r="FD89">
        <v>4</v>
      </c>
      <c r="FE89">
        <v>2</v>
      </c>
      <c r="FF89">
        <v>1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2</v>
      </c>
    </row>
    <row r="90" spans="1:172" ht="14.25">
      <c r="A90">
        <v>85</v>
      </c>
      <c r="B90" t="str">
        <f>"101102"</f>
        <v>101102</v>
      </c>
      <c r="C90" t="str">
        <f>"Pęczniew"</f>
        <v>Pęczniew</v>
      </c>
      <c r="D90" t="str">
        <f t="shared" si="12"/>
        <v>poddębicki</v>
      </c>
      <c r="E90" t="str">
        <f t="shared" si="11"/>
        <v>łódzkie</v>
      </c>
      <c r="F90">
        <v>2</v>
      </c>
      <c r="G90" t="str">
        <f>"Remiza OSP, Lubola 76a, 99-235 Pęczniew"</f>
        <v>Remiza OSP, Lubola 76a, 99-235 Pęczniew</v>
      </c>
      <c r="H90">
        <v>406</v>
      </c>
      <c r="I90">
        <v>406</v>
      </c>
      <c r="J90">
        <v>0</v>
      </c>
      <c r="K90">
        <v>280</v>
      </c>
      <c r="L90">
        <v>180</v>
      </c>
      <c r="M90">
        <v>100</v>
      </c>
      <c r="N90">
        <v>100</v>
      </c>
      <c r="O90">
        <v>0</v>
      </c>
      <c r="P90">
        <v>0</v>
      </c>
      <c r="Q90">
        <v>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100</v>
      </c>
      <c r="Z90">
        <v>0</v>
      </c>
      <c r="AA90">
        <v>0</v>
      </c>
      <c r="AB90">
        <v>100</v>
      </c>
      <c r="AC90">
        <v>0</v>
      </c>
      <c r="AD90">
        <v>100</v>
      </c>
      <c r="AE90">
        <v>2</v>
      </c>
      <c r="AF90">
        <v>1</v>
      </c>
      <c r="AG90">
        <v>0</v>
      </c>
      <c r="AH90">
        <v>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5</v>
      </c>
      <c r="BD90">
        <v>2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3</v>
      </c>
      <c r="BN90">
        <v>5</v>
      </c>
      <c r="BO90">
        <v>67</v>
      </c>
      <c r="BP90">
        <v>21</v>
      </c>
      <c r="BQ90">
        <v>0</v>
      </c>
      <c r="BR90">
        <v>0</v>
      </c>
      <c r="BS90">
        <v>46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67</v>
      </c>
      <c r="CA90">
        <v>1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1</v>
      </c>
      <c r="CL90">
        <v>1</v>
      </c>
      <c r="CM90">
        <v>2</v>
      </c>
      <c r="CN90">
        <v>1</v>
      </c>
      <c r="CO90">
        <v>0</v>
      </c>
      <c r="CP90">
        <v>0</v>
      </c>
      <c r="CQ90">
        <v>0</v>
      </c>
      <c r="CR90">
        <v>1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2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16</v>
      </c>
      <c r="DL90">
        <v>3</v>
      </c>
      <c r="DM90">
        <v>0</v>
      </c>
      <c r="DN90">
        <v>0</v>
      </c>
      <c r="DO90">
        <v>13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16</v>
      </c>
      <c r="DW90">
        <v>5</v>
      </c>
      <c r="DX90">
        <v>3</v>
      </c>
      <c r="DY90">
        <v>1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1</v>
      </c>
      <c r="EG90">
        <v>0</v>
      </c>
      <c r="EH90">
        <v>5</v>
      </c>
      <c r="EI90">
        <v>2</v>
      </c>
      <c r="EJ90">
        <v>0</v>
      </c>
      <c r="EK90">
        <v>1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1</v>
      </c>
      <c r="ER90">
        <v>2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</row>
    <row r="91" spans="1:172" ht="14.25">
      <c r="A91">
        <v>86</v>
      </c>
      <c r="B91" t="str">
        <f>"101102"</f>
        <v>101102</v>
      </c>
      <c r="C91" t="str">
        <f>"Pęczniew"</f>
        <v>Pęczniew</v>
      </c>
      <c r="D91" t="str">
        <f t="shared" si="12"/>
        <v>poddębicki</v>
      </c>
      <c r="E91" t="str">
        <f t="shared" si="11"/>
        <v>łódzkie</v>
      </c>
      <c r="F91">
        <v>3</v>
      </c>
      <c r="G91" t="str">
        <f>"Remiza OSP, Księża Wólka 28, 99-235 Pęczniew"</f>
        <v>Remiza OSP, Księża Wólka 28, 99-235 Pęczniew</v>
      </c>
      <c r="H91">
        <v>369</v>
      </c>
      <c r="I91">
        <v>369</v>
      </c>
      <c r="J91">
        <v>0</v>
      </c>
      <c r="K91">
        <v>250</v>
      </c>
      <c r="L91">
        <v>195</v>
      </c>
      <c r="M91">
        <v>55</v>
      </c>
      <c r="N91">
        <v>55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55</v>
      </c>
      <c r="Z91">
        <v>0</v>
      </c>
      <c r="AA91">
        <v>0</v>
      </c>
      <c r="AB91">
        <v>55</v>
      </c>
      <c r="AC91">
        <v>3</v>
      </c>
      <c r="AD91">
        <v>52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2</v>
      </c>
      <c r="BD91">
        <v>2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2</v>
      </c>
      <c r="BO91">
        <v>29</v>
      </c>
      <c r="BP91">
        <v>2</v>
      </c>
      <c r="BQ91">
        <v>0</v>
      </c>
      <c r="BR91">
        <v>0</v>
      </c>
      <c r="BS91">
        <v>27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29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14</v>
      </c>
      <c r="DL91">
        <v>2</v>
      </c>
      <c r="DM91">
        <v>3</v>
      </c>
      <c r="DN91">
        <v>0</v>
      </c>
      <c r="DO91">
        <v>7</v>
      </c>
      <c r="DP91">
        <v>0</v>
      </c>
      <c r="DQ91">
        <v>1</v>
      </c>
      <c r="DR91">
        <v>0</v>
      </c>
      <c r="DS91">
        <v>0</v>
      </c>
      <c r="DT91">
        <v>0</v>
      </c>
      <c r="DU91">
        <v>1</v>
      </c>
      <c r="DV91">
        <v>14</v>
      </c>
      <c r="DW91">
        <v>6</v>
      </c>
      <c r="DX91">
        <v>3</v>
      </c>
      <c r="DY91">
        <v>0</v>
      </c>
      <c r="DZ91">
        <v>0</v>
      </c>
      <c r="EA91">
        <v>1</v>
      </c>
      <c r="EB91">
        <v>0</v>
      </c>
      <c r="EC91">
        <v>1</v>
      </c>
      <c r="ED91">
        <v>1</v>
      </c>
      <c r="EE91">
        <v>0</v>
      </c>
      <c r="EF91">
        <v>0</v>
      </c>
      <c r="EG91">
        <v>0</v>
      </c>
      <c r="EH91">
        <v>6</v>
      </c>
      <c r="EI91">
        <v>1</v>
      </c>
      <c r="EJ91">
        <v>1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1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</row>
    <row r="92" spans="1:172" ht="14.25">
      <c r="A92">
        <v>87</v>
      </c>
      <c r="B92" t="str">
        <f>"101102"</f>
        <v>101102</v>
      </c>
      <c r="C92" t="str">
        <f>"Pęczniew"</f>
        <v>Pęczniew</v>
      </c>
      <c r="D92" t="str">
        <f t="shared" si="12"/>
        <v>poddębicki</v>
      </c>
      <c r="E92" t="str">
        <f t="shared" si="11"/>
        <v>łódzkie</v>
      </c>
      <c r="F92">
        <v>4</v>
      </c>
      <c r="G92" t="str">
        <f>"Remiza OSP, Drużbin 53, 99-235 Pęczniew"</f>
        <v>Remiza OSP, Drużbin 53, 99-235 Pęczniew</v>
      </c>
      <c r="H92">
        <v>479</v>
      </c>
      <c r="I92">
        <v>479</v>
      </c>
      <c r="J92">
        <v>0</v>
      </c>
      <c r="K92">
        <v>340</v>
      </c>
      <c r="L92">
        <v>249</v>
      </c>
      <c r="M92">
        <v>91</v>
      </c>
      <c r="N92">
        <v>91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91</v>
      </c>
      <c r="Z92">
        <v>0</v>
      </c>
      <c r="AA92">
        <v>0</v>
      </c>
      <c r="AB92">
        <v>91</v>
      </c>
      <c r="AC92">
        <v>4</v>
      </c>
      <c r="AD92">
        <v>87</v>
      </c>
      <c r="AE92">
        <v>2</v>
      </c>
      <c r="AF92">
        <v>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1</v>
      </c>
      <c r="AN92">
        <v>0</v>
      </c>
      <c r="AO92">
        <v>0</v>
      </c>
      <c r="AP92">
        <v>2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2</v>
      </c>
      <c r="BD92">
        <v>1</v>
      </c>
      <c r="BE92">
        <v>1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2</v>
      </c>
      <c r="BO92">
        <v>33</v>
      </c>
      <c r="BP92">
        <v>12</v>
      </c>
      <c r="BQ92">
        <v>0</v>
      </c>
      <c r="BR92">
        <v>0</v>
      </c>
      <c r="BS92">
        <v>20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1</v>
      </c>
      <c r="BZ92">
        <v>33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2</v>
      </c>
      <c r="CZ92">
        <v>1</v>
      </c>
      <c r="DA92">
        <v>1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2</v>
      </c>
      <c r="DK92">
        <v>38</v>
      </c>
      <c r="DL92">
        <v>4</v>
      </c>
      <c r="DM92">
        <v>3</v>
      </c>
      <c r="DN92">
        <v>0</v>
      </c>
      <c r="DO92">
        <v>29</v>
      </c>
      <c r="DP92">
        <v>0</v>
      </c>
      <c r="DQ92">
        <v>0</v>
      </c>
      <c r="DR92">
        <v>0</v>
      </c>
      <c r="DS92">
        <v>0</v>
      </c>
      <c r="DT92">
        <v>2</v>
      </c>
      <c r="DU92">
        <v>0</v>
      </c>
      <c r="DV92">
        <v>38</v>
      </c>
      <c r="DW92">
        <v>10</v>
      </c>
      <c r="DX92">
        <v>4</v>
      </c>
      <c r="DY92">
        <v>2</v>
      </c>
      <c r="DZ92">
        <v>0</v>
      </c>
      <c r="EA92">
        <v>1</v>
      </c>
      <c r="EB92">
        <v>0</v>
      </c>
      <c r="EC92">
        <v>1</v>
      </c>
      <c r="ED92">
        <v>0</v>
      </c>
      <c r="EE92">
        <v>0</v>
      </c>
      <c r="EF92">
        <v>0</v>
      </c>
      <c r="EG92">
        <v>2</v>
      </c>
      <c r="EH92">
        <v>10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</row>
    <row r="93" spans="1:172" ht="14.25">
      <c r="A93">
        <v>88</v>
      </c>
      <c r="B93" t="str">
        <f>"101102"</f>
        <v>101102</v>
      </c>
      <c r="C93" t="str">
        <f>"Pęczniew"</f>
        <v>Pęczniew</v>
      </c>
      <c r="D93" t="str">
        <f t="shared" si="12"/>
        <v>poddębicki</v>
      </c>
      <c r="E93" t="str">
        <f t="shared" si="11"/>
        <v>łódzkie</v>
      </c>
      <c r="F93">
        <v>5</v>
      </c>
      <c r="G93" t="str">
        <f>"Centrum Kulturalno-Oświatowe we wsi Brzeg przy szkole podstawowej, Brzeg 118, 99-235 Pęczniew"</f>
        <v>Centrum Kulturalno-Oświatowe we wsi Brzeg przy szkole podstawowej, Brzeg 118, 99-235 Pęczniew</v>
      </c>
      <c r="H93">
        <v>406</v>
      </c>
      <c r="I93">
        <v>406</v>
      </c>
      <c r="J93">
        <v>0</v>
      </c>
      <c r="K93">
        <v>290</v>
      </c>
      <c r="L93">
        <v>189</v>
      </c>
      <c r="M93">
        <v>101</v>
      </c>
      <c r="N93">
        <v>101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101</v>
      </c>
      <c r="Z93">
        <v>0</v>
      </c>
      <c r="AA93">
        <v>0</v>
      </c>
      <c r="AB93">
        <v>101</v>
      </c>
      <c r="AC93">
        <v>5</v>
      </c>
      <c r="AD93">
        <v>96</v>
      </c>
      <c r="AE93">
        <v>4</v>
      </c>
      <c r="AF93">
        <v>4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4</v>
      </c>
      <c r="AQ93">
        <v>1</v>
      </c>
      <c r="AR93">
        <v>0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1</v>
      </c>
      <c r="BC93">
        <v>4</v>
      </c>
      <c r="BD93">
        <v>2</v>
      </c>
      <c r="BE93">
        <v>1</v>
      </c>
      <c r="BF93">
        <v>0</v>
      </c>
      <c r="BG93">
        <v>1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4</v>
      </c>
      <c r="BO93">
        <v>65</v>
      </c>
      <c r="BP93">
        <v>23</v>
      </c>
      <c r="BQ93">
        <v>0</v>
      </c>
      <c r="BR93">
        <v>0</v>
      </c>
      <c r="BS93">
        <v>41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65</v>
      </c>
      <c r="CA93">
        <v>3</v>
      </c>
      <c r="CB93">
        <v>0</v>
      </c>
      <c r="CC93">
        <v>1</v>
      </c>
      <c r="CD93">
        <v>0</v>
      </c>
      <c r="CE93">
        <v>0</v>
      </c>
      <c r="CF93">
        <v>1</v>
      </c>
      <c r="CG93">
        <v>1</v>
      </c>
      <c r="CH93">
        <v>0</v>
      </c>
      <c r="CI93">
        <v>0</v>
      </c>
      <c r="CJ93">
        <v>0</v>
      </c>
      <c r="CK93">
        <v>0</v>
      </c>
      <c r="CL93">
        <v>3</v>
      </c>
      <c r="CM93">
        <v>1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0</v>
      </c>
      <c r="CX93">
        <v>1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15</v>
      </c>
      <c r="DL93">
        <v>4</v>
      </c>
      <c r="DM93">
        <v>1</v>
      </c>
      <c r="DN93">
        <v>0</v>
      </c>
      <c r="DO93">
        <v>8</v>
      </c>
      <c r="DP93">
        <v>0</v>
      </c>
      <c r="DQ93">
        <v>0</v>
      </c>
      <c r="DR93">
        <v>0</v>
      </c>
      <c r="DS93">
        <v>1</v>
      </c>
      <c r="DT93">
        <v>1</v>
      </c>
      <c r="DU93">
        <v>0</v>
      </c>
      <c r="DV93">
        <v>15</v>
      </c>
      <c r="DW93">
        <v>3</v>
      </c>
      <c r="DX93">
        <v>0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2</v>
      </c>
      <c r="EE93">
        <v>0</v>
      </c>
      <c r="EF93">
        <v>0</v>
      </c>
      <c r="EG93">
        <v>0</v>
      </c>
      <c r="EH93">
        <v>3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</row>
    <row r="94" spans="1:172" ht="14.25">
      <c r="A94">
        <v>89</v>
      </c>
      <c r="B94" t="str">
        <f aca="true" t="shared" si="13" ref="B94:B112">"101103"</f>
        <v>101103</v>
      </c>
      <c r="C94" t="str">
        <f aca="true" t="shared" si="14" ref="C94:C112">"Poddębice"</f>
        <v>Poddębice</v>
      </c>
      <c r="D94" t="str">
        <f t="shared" si="12"/>
        <v>poddębicki</v>
      </c>
      <c r="E94" t="str">
        <f t="shared" si="11"/>
        <v>łódzkie</v>
      </c>
      <c r="F94">
        <v>1</v>
      </c>
      <c r="G94" t="str">
        <f>"Szkoła Podstawowa Nr 1 im. Lotników Polskich w Poddębicach, Łęczycka 13, 99-200 Poddębice"</f>
        <v>Szkoła Podstawowa Nr 1 im. Lotników Polskich w Poddębicach, Łęczycka 13, 99-200 Poddębice</v>
      </c>
      <c r="H94">
        <v>961</v>
      </c>
      <c r="I94">
        <v>961</v>
      </c>
      <c r="J94">
        <v>0</v>
      </c>
      <c r="K94">
        <v>669</v>
      </c>
      <c r="L94">
        <v>431</v>
      </c>
      <c r="M94">
        <v>238</v>
      </c>
      <c r="N94">
        <v>238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238</v>
      </c>
      <c r="Z94">
        <v>0</v>
      </c>
      <c r="AA94">
        <v>0</v>
      </c>
      <c r="AB94">
        <v>238</v>
      </c>
      <c r="AC94">
        <v>12</v>
      </c>
      <c r="AD94">
        <v>226</v>
      </c>
      <c r="AE94">
        <v>6</v>
      </c>
      <c r="AF94">
        <v>1</v>
      </c>
      <c r="AG94">
        <v>2</v>
      </c>
      <c r="AH94">
        <v>2</v>
      </c>
      <c r="AI94">
        <v>1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6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22</v>
      </c>
      <c r="BD94">
        <v>11</v>
      </c>
      <c r="BE94">
        <v>2</v>
      </c>
      <c r="BF94">
        <v>4</v>
      </c>
      <c r="BG94">
        <v>2</v>
      </c>
      <c r="BH94">
        <v>2</v>
      </c>
      <c r="BI94">
        <v>0</v>
      </c>
      <c r="BJ94">
        <v>0</v>
      </c>
      <c r="BK94">
        <v>0</v>
      </c>
      <c r="BL94">
        <v>0</v>
      </c>
      <c r="BM94">
        <v>1</v>
      </c>
      <c r="BN94">
        <v>22</v>
      </c>
      <c r="BO94">
        <v>75</v>
      </c>
      <c r="BP94">
        <v>26</v>
      </c>
      <c r="BQ94">
        <v>1</v>
      </c>
      <c r="BR94">
        <v>0</v>
      </c>
      <c r="BS94">
        <v>46</v>
      </c>
      <c r="BT94">
        <v>0</v>
      </c>
      <c r="BU94">
        <v>0</v>
      </c>
      <c r="BV94">
        <v>1</v>
      </c>
      <c r="BW94">
        <v>0</v>
      </c>
      <c r="BX94">
        <v>0</v>
      </c>
      <c r="BY94">
        <v>1</v>
      </c>
      <c r="BZ94">
        <v>75</v>
      </c>
      <c r="CA94">
        <v>4</v>
      </c>
      <c r="CB94">
        <v>1</v>
      </c>
      <c r="CC94">
        <v>3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4</v>
      </c>
      <c r="CM94">
        <v>9</v>
      </c>
      <c r="CN94">
        <v>3</v>
      </c>
      <c r="CO94">
        <v>0</v>
      </c>
      <c r="CP94">
        <v>0</v>
      </c>
      <c r="CQ94">
        <v>1</v>
      </c>
      <c r="CR94">
        <v>2</v>
      </c>
      <c r="CS94">
        <v>0</v>
      </c>
      <c r="CT94">
        <v>3</v>
      </c>
      <c r="CU94">
        <v>0</v>
      </c>
      <c r="CV94">
        <v>0</v>
      </c>
      <c r="CW94">
        <v>0</v>
      </c>
      <c r="CX94">
        <v>9</v>
      </c>
      <c r="CY94">
        <v>10</v>
      </c>
      <c r="CZ94">
        <v>8</v>
      </c>
      <c r="DA94">
        <v>1</v>
      </c>
      <c r="DB94">
        <v>0</v>
      </c>
      <c r="DC94">
        <v>0</v>
      </c>
      <c r="DD94">
        <v>0</v>
      </c>
      <c r="DE94">
        <v>1</v>
      </c>
      <c r="DF94">
        <v>0</v>
      </c>
      <c r="DG94">
        <v>0</v>
      </c>
      <c r="DH94">
        <v>0</v>
      </c>
      <c r="DI94">
        <v>0</v>
      </c>
      <c r="DJ94">
        <v>10</v>
      </c>
      <c r="DK94">
        <v>73</v>
      </c>
      <c r="DL94">
        <v>50</v>
      </c>
      <c r="DM94">
        <v>15</v>
      </c>
      <c r="DN94">
        <v>0</v>
      </c>
      <c r="DO94">
        <v>5</v>
      </c>
      <c r="DP94">
        <v>1</v>
      </c>
      <c r="DQ94">
        <v>1</v>
      </c>
      <c r="DR94">
        <v>1</v>
      </c>
      <c r="DS94">
        <v>0</v>
      </c>
      <c r="DT94">
        <v>0</v>
      </c>
      <c r="DU94">
        <v>0</v>
      </c>
      <c r="DV94">
        <v>73</v>
      </c>
      <c r="DW94">
        <v>26</v>
      </c>
      <c r="DX94">
        <v>1</v>
      </c>
      <c r="DY94">
        <v>0</v>
      </c>
      <c r="DZ94">
        <v>0</v>
      </c>
      <c r="EA94">
        <v>6</v>
      </c>
      <c r="EB94">
        <v>0</v>
      </c>
      <c r="EC94">
        <v>16</v>
      </c>
      <c r="ED94">
        <v>2</v>
      </c>
      <c r="EE94">
        <v>1</v>
      </c>
      <c r="EF94">
        <v>0</v>
      </c>
      <c r="EG94">
        <v>0</v>
      </c>
      <c r="EH94">
        <v>26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1</v>
      </c>
      <c r="ET94">
        <v>0</v>
      </c>
      <c r="EU94">
        <v>1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1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</row>
    <row r="95" spans="1:172" ht="14.25">
      <c r="A95">
        <v>90</v>
      </c>
      <c r="B95" t="str">
        <f t="shared" si="13"/>
        <v>101103</v>
      </c>
      <c r="C95" t="str">
        <f t="shared" si="14"/>
        <v>Poddębice</v>
      </c>
      <c r="D95" t="str">
        <f t="shared" si="12"/>
        <v>poddębicki</v>
      </c>
      <c r="E95" t="str">
        <f t="shared" si="11"/>
        <v>łódzkie</v>
      </c>
      <c r="F95">
        <v>2</v>
      </c>
      <c r="G95" t="str">
        <f>"Szkoła Podstawowa Nr 1 im. Lotników Polskich w Poddębicach, Łęczycka 13, 99-200 Poddębice"</f>
        <v>Szkoła Podstawowa Nr 1 im. Lotników Polskich w Poddębicach, Łęczycka 13, 99-200 Poddębice</v>
      </c>
      <c r="H95">
        <v>993</v>
      </c>
      <c r="I95">
        <v>993</v>
      </c>
      <c r="J95">
        <v>0</v>
      </c>
      <c r="K95">
        <v>684</v>
      </c>
      <c r="L95">
        <v>489</v>
      </c>
      <c r="M95">
        <v>195</v>
      </c>
      <c r="N95">
        <v>195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195</v>
      </c>
      <c r="Z95">
        <v>0</v>
      </c>
      <c r="AA95">
        <v>0</v>
      </c>
      <c r="AB95">
        <v>195</v>
      </c>
      <c r="AC95">
        <v>13</v>
      </c>
      <c r="AD95">
        <v>182</v>
      </c>
      <c r="AE95">
        <v>2</v>
      </c>
      <c r="AF95">
        <v>2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2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21</v>
      </c>
      <c r="BD95">
        <v>3</v>
      </c>
      <c r="BE95">
        <v>3</v>
      </c>
      <c r="BF95">
        <v>8</v>
      </c>
      <c r="BG95">
        <v>0</v>
      </c>
      <c r="BH95">
        <v>1</v>
      </c>
      <c r="BI95">
        <v>5</v>
      </c>
      <c r="BJ95">
        <v>0</v>
      </c>
      <c r="BK95">
        <v>0</v>
      </c>
      <c r="BL95">
        <v>0</v>
      </c>
      <c r="BM95">
        <v>1</v>
      </c>
      <c r="BN95">
        <v>21</v>
      </c>
      <c r="BO95">
        <v>82</v>
      </c>
      <c r="BP95">
        <v>36</v>
      </c>
      <c r="BQ95">
        <v>3</v>
      </c>
      <c r="BR95">
        <v>0</v>
      </c>
      <c r="BS95">
        <v>42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1</v>
      </c>
      <c r="BZ95">
        <v>82</v>
      </c>
      <c r="CA95">
        <v>5</v>
      </c>
      <c r="CB95">
        <v>1</v>
      </c>
      <c r="CC95">
        <v>2</v>
      </c>
      <c r="CD95">
        <v>2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5</v>
      </c>
      <c r="CM95">
        <v>3</v>
      </c>
      <c r="CN95">
        <v>2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1</v>
      </c>
      <c r="CX95">
        <v>3</v>
      </c>
      <c r="CY95">
        <v>7</v>
      </c>
      <c r="CZ95">
        <v>2</v>
      </c>
      <c r="DA95">
        <v>0</v>
      </c>
      <c r="DB95">
        <v>0</v>
      </c>
      <c r="DC95">
        <v>0</v>
      </c>
      <c r="DD95">
        <v>2</v>
      </c>
      <c r="DE95">
        <v>0</v>
      </c>
      <c r="DF95">
        <v>2</v>
      </c>
      <c r="DG95">
        <v>1</v>
      </c>
      <c r="DH95">
        <v>0</v>
      </c>
      <c r="DI95">
        <v>0</v>
      </c>
      <c r="DJ95">
        <v>7</v>
      </c>
      <c r="DK95">
        <v>43</v>
      </c>
      <c r="DL95">
        <v>29</v>
      </c>
      <c r="DM95">
        <v>11</v>
      </c>
      <c r="DN95">
        <v>0</v>
      </c>
      <c r="DO95">
        <v>1</v>
      </c>
      <c r="DP95">
        <v>0</v>
      </c>
      <c r="DQ95">
        <v>0</v>
      </c>
      <c r="DR95">
        <v>0</v>
      </c>
      <c r="DS95">
        <v>2</v>
      </c>
      <c r="DT95">
        <v>0</v>
      </c>
      <c r="DU95">
        <v>0</v>
      </c>
      <c r="DV95">
        <v>43</v>
      </c>
      <c r="DW95">
        <v>18</v>
      </c>
      <c r="DX95">
        <v>1</v>
      </c>
      <c r="DY95">
        <v>0</v>
      </c>
      <c r="DZ95">
        <v>0</v>
      </c>
      <c r="EA95">
        <v>1</v>
      </c>
      <c r="EB95">
        <v>0</v>
      </c>
      <c r="EC95">
        <v>12</v>
      </c>
      <c r="ED95">
        <v>3</v>
      </c>
      <c r="EE95">
        <v>1</v>
      </c>
      <c r="EF95">
        <v>0</v>
      </c>
      <c r="EG95">
        <v>0</v>
      </c>
      <c r="EH95">
        <v>18</v>
      </c>
      <c r="EI95">
        <v>1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1</v>
      </c>
      <c r="EQ95">
        <v>0</v>
      </c>
      <c r="ER95">
        <v>1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</row>
    <row r="96" spans="1:172" ht="14.25">
      <c r="A96">
        <v>91</v>
      </c>
      <c r="B96" t="str">
        <f t="shared" si="13"/>
        <v>101103</v>
      </c>
      <c r="C96" t="str">
        <f t="shared" si="14"/>
        <v>Poddębice</v>
      </c>
      <c r="D96" t="str">
        <f t="shared" si="12"/>
        <v>poddębicki</v>
      </c>
      <c r="E96" t="str">
        <f t="shared" si="11"/>
        <v>łódzkie</v>
      </c>
      <c r="F96">
        <v>3</v>
      </c>
      <c r="G96" t="str">
        <f>"Szkoła Podstawowa Nr 1 im. Lotników Polskich w Poddębicach, Łęczycka 13, 99-200 Poddębice"</f>
        <v>Szkoła Podstawowa Nr 1 im. Lotników Polskich w Poddębicach, Łęczycka 13, 99-200 Poddębice</v>
      </c>
      <c r="H96">
        <v>771</v>
      </c>
      <c r="I96">
        <v>771</v>
      </c>
      <c r="J96">
        <v>0</v>
      </c>
      <c r="K96">
        <v>525</v>
      </c>
      <c r="L96">
        <v>398</v>
      </c>
      <c r="M96">
        <v>127</v>
      </c>
      <c r="N96">
        <v>127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127</v>
      </c>
      <c r="Z96">
        <v>0</v>
      </c>
      <c r="AA96">
        <v>0</v>
      </c>
      <c r="AB96">
        <v>127</v>
      </c>
      <c r="AC96">
        <v>4</v>
      </c>
      <c r="AD96">
        <v>123</v>
      </c>
      <c r="AE96">
        <v>3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0</v>
      </c>
      <c r="AL96">
        <v>0</v>
      </c>
      <c r="AM96">
        <v>1</v>
      </c>
      <c r="AN96">
        <v>0</v>
      </c>
      <c r="AO96">
        <v>1</v>
      </c>
      <c r="AP96">
        <v>3</v>
      </c>
      <c r="AQ96">
        <v>2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</v>
      </c>
      <c r="AY96">
        <v>0</v>
      </c>
      <c r="AZ96">
        <v>0</v>
      </c>
      <c r="BA96">
        <v>0</v>
      </c>
      <c r="BB96">
        <v>2</v>
      </c>
      <c r="BC96">
        <v>10</v>
      </c>
      <c r="BD96">
        <v>7</v>
      </c>
      <c r="BE96">
        <v>0</v>
      </c>
      <c r="BF96">
        <v>1</v>
      </c>
      <c r="BG96">
        <v>0</v>
      </c>
      <c r="BH96">
        <v>0</v>
      </c>
      <c r="BI96">
        <v>2</v>
      </c>
      <c r="BJ96">
        <v>0</v>
      </c>
      <c r="BK96">
        <v>0</v>
      </c>
      <c r="BL96">
        <v>0</v>
      </c>
      <c r="BM96">
        <v>0</v>
      </c>
      <c r="BN96">
        <v>10</v>
      </c>
      <c r="BO96">
        <v>48</v>
      </c>
      <c r="BP96">
        <v>20</v>
      </c>
      <c r="BQ96">
        <v>1</v>
      </c>
      <c r="BR96">
        <v>1</v>
      </c>
      <c r="BS96">
        <v>26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48</v>
      </c>
      <c r="CA96">
        <v>2</v>
      </c>
      <c r="CB96">
        <v>2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2</v>
      </c>
      <c r="CM96">
        <v>7</v>
      </c>
      <c r="CN96">
        <v>1</v>
      </c>
      <c r="CO96">
        <v>0</v>
      </c>
      <c r="CP96">
        <v>1</v>
      </c>
      <c r="CQ96">
        <v>1</v>
      </c>
      <c r="CR96">
        <v>4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7</v>
      </c>
      <c r="CY96">
        <v>8</v>
      </c>
      <c r="CZ96">
        <v>3</v>
      </c>
      <c r="DA96">
        <v>0</v>
      </c>
      <c r="DB96">
        <v>1</v>
      </c>
      <c r="DC96">
        <v>1</v>
      </c>
      <c r="DD96">
        <v>1</v>
      </c>
      <c r="DE96">
        <v>1</v>
      </c>
      <c r="DF96">
        <v>0</v>
      </c>
      <c r="DG96">
        <v>0</v>
      </c>
      <c r="DH96">
        <v>1</v>
      </c>
      <c r="DI96">
        <v>0</v>
      </c>
      <c r="DJ96">
        <v>8</v>
      </c>
      <c r="DK96">
        <v>28</v>
      </c>
      <c r="DL96">
        <v>17</v>
      </c>
      <c r="DM96">
        <v>6</v>
      </c>
      <c r="DN96">
        <v>0</v>
      </c>
      <c r="DO96">
        <v>4</v>
      </c>
      <c r="DP96">
        <v>0</v>
      </c>
      <c r="DQ96">
        <v>0</v>
      </c>
      <c r="DR96">
        <v>0</v>
      </c>
      <c r="DS96">
        <v>0</v>
      </c>
      <c r="DT96">
        <v>1</v>
      </c>
      <c r="DU96">
        <v>0</v>
      </c>
      <c r="DV96">
        <v>28</v>
      </c>
      <c r="DW96">
        <v>11</v>
      </c>
      <c r="DX96">
        <v>1</v>
      </c>
      <c r="DY96">
        <v>0</v>
      </c>
      <c r="DZ96">
        <v>0</v>
      </c>
      <c r="EA96">
        <v>1</v>
      </c>
      <c r="EB96">
        <v>0</v>
      </c>
      <c r="EC96">
        <v>6</v>
      </c>
      <c r="ED96">
        <v>1</v>
      </c>
      <c r="EE96">
        <v>2</v>
      </c>
      <c r="EF96">
        <v>0</v>
      </c>
      <c r="EG96">
        <v>0</v>
      </c>
      <c r="EH96">
        <v>11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2</v>
      </c>
      <c r="ET96">
        <v>2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2</v>
      </c>
      <c r="FE96">
        <v>2</v>
      </c>
      <c r="FF96">
        <v>1</v>
      </c>
      <c r="FG96">
        <v>0</v>
      </c>
      <c r="FH96">
        <v>0</v>
      </c>
      <c r="FI96">
        <v>0</v>
      </c>
      <c r="FJ96">
        <v>1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2</v>
      </c>
    </row>
    <row r="97" spans="1:172" ht="14.25">
      <c r="A97">
        <v>92</v>
      </c>
      <c r="B97" t="str">
        <f t="shared" si="13"/>
        <v>101103</v>
      </c>
      <c r="C97" t="str">
        <f t="shared" si="14"/>
        <v>Poddębice</v>
      </c>
      <c r="D97" t="str">
        <f t="shared" si="12"/>
        <v>poddębicki</v>
      </c>
      <c r="E97" t="str">
        <f t="shared" si="11"/>
        <v>łódzkie</v>
      </c>
      <c r="F97">
        <v>4</v>
      </c>
      <c r="G97" t="str">
        <f>"Szkoła Podstawowa Nr 1 im. Lotników Polskich w Poddębicach, Łęczycka 13, 99-200 Poddębice"</f>
        <v>Szkoła Podstawowa Nr 1 im. Lotników Polskich w Poddębicach, Łęczycka 13, 99-200 Poddębice</v>
      </c>
      <c r="H97">
        <v>591</v>
      </c>
      <c r="I97">
        <v>591</v>
      </c>
      <c r="J97">
        <v>0</v>
      </c>
      <c r="K97">
        <v>410</v>
      </c>
      <c r="L97">
        <v>248</v>
      </c>
      <c r="M97">
        <v>162</v>
      </c>
      <c r="N97">
        <v>162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162</v>
      </c>
      <c r="Z97">
        <v>0</v>
      </c>
      <c r="AA97">
        <v>0</v>
      </c>
      <c r="AB97">
        <v>162</v>
      </c>
      <c r="AC97">
        <v>2</v>
      </c>
      <c r="AD97">
        <v>160</v>
      </c>
      <c r="AE97">
        <v>1</v>
      </c>
      <c r="AF97">
        <v>0</v>
      </c>
      <c r="AG97">
        <v>1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6</v>
      </c>
      <c r="AR97">
        <v>1</v>
      </c>
      <c r="AS97">
        <v>1</v>
      </c>
      <c r="AT97">
        <v>0</v>
      </c>
      <c r="AU97">
        <v>0</v>
      </c>
      <c r="AV97">
        <v>3</v>
      </c>
      <c r="AW97">
        <v>0</v>
      </c>
      <c r="AX97">
        <v>0</v>
      </c>
      <c r="AY97">
        <v>0</v>
      </c>
      <c r="AZ97">
        <v>0</v>
      </c>
      <c r="BA97">
        <v>1</v>
      </c>
      <c r="BB97">
        <v>6</v>
      </c>
      <c r="BC97">
        <v>17</v>
      </c>
      <c r="BD97">
        <v>9</v>
      </c>
      <c r="BE97">
        <v>0</v>
      </c>
      <c r="BF97">
        <v>5</v>
      </c>
      <c r="BG97">
        <v>0</v>
      </c>
      <c r="BH97">
        <v>0</v>
      </c>
      <c r="BI97">
        <v>1</v>
      </c>
      <c r="BJ97">
        <v>0</v>
      </c>
      <c r="BK97">
        <v>0</v>
      </c>
      <c r="BL97">
        <v>0</v>
      </c>
      <c r="BM97">
        <v>2</v>
      </c>
      <c r="BN97">
        <v>17</v>
      </c>
      <c r="BO97">
        <v>46</v>
      </c>
      <c r="BP97">
        <v>13</v>
      </c>
      <c r="BQ97">
        <v>0</v>
      </c>
      <c r="BR97">
        <v>1</v>
      </c>
      <c r="BS97">
        <v>32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46</v>
      </c>
      <c r="CA97">
        <v>3</v>
      </c>
      <c r="CB97">
        <v>1</v>
      </c>
      <c r="CC97">
        <v>0</v>
      </c>
      <c r="CD97">
        <v>1</v>
      </c>
      <c r="CE97">
        <v>0</v>
      </c>
      <c r="CF97">
        <v>0</v>
      </c>
      <c r="CG97">
        <v>0</v>
      </c>
      <c r="CH97">
        <v>0</v>
      </c>
      <c r="CI97">
        <v>1</v>
      </c>
      <c r="CJ97">
        <v>0</v>
      </c>
      <c r="CK97">
        <v>0</v>
      </c>
      <c r="CL97">
        <v>3</v>
      </c>
      <c r="CM97">
        <v>4</v>
      </c>
      <c r="CN97">
        <v>1</v>
      </c>
      <c r="CO97">
        <v>0</v>
      </c>
      <c r="CP97">
        <v>0</v>
      </c>
      <c r="CQ97">
        <v>0</v>
      </c>
      <c r="CR97">
        <v>3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4</v>
      </c>
      <c r="CY97">
        <v>10</v>
      </c>
      <c r="CZ97">
        <v>5</v>
      </c>
      <c r="DA97">
        <v>1</v>
      </c>
      <c r="DB97">
        <v>0</v>
      </c>
      <c r="DC97">
        <v>0</v>
      </c>
      <c r="DD97">
        <v>0</v>
      </c>
      <c r="DE97">
        <v>2</v>
      </c>
      <c r="DF97">
        <v>1</v>
      </c>
      <c r="DG97">
        <v>0</v>
      </c>
      <c r="DH97">
        <v>0</v>
      </c>
      <c r="DI97">
        <v>1</v>
      </c>
      <c r="DJ97">
        <v>10</v>
      </c>
      <c r="DK97">
        <v>54</v>
      </c>
      <c r="DL97">
        <v>36</v>
      </c>
      <c r="DM97">
        <v>11</v>
      </c>
      <c r="DN97">
        <v>0</v>
      </c>
      <c r="DO97">
        <v>5</v>
      </c>
      <c r="DP97">
        <v>0</v>
      </c>
      <c r="DQ97">
        <v>1</v>
      </c>
      <c r="DR97">
        <v>0</v>
      </c>
      <c r="DS97">
        <v>0</v>
      </c>
      <c r="DT97">
        <v>1</v>
      </c>
      <c r="DU97">
        <v>0</v>
      </c>
      <c r="DV97">
        <v>54</v>
      </c>
      <c r="DW97">
        <v>17</v>
      </c>
      <c r="DX97">
        <v>2</v>
      </c>
      <c r="DY97">
        <v>0</v>
      </c>
      <c r="DZ97">
        <v>0</v>
      </c>
      <c r="EA97">
        <v>2</v>
      </c>
      <c r="EB97">
        <v>0</v>
      </c>
      <c r="EC97">
        <v>10</v>
      </c>
      <c r="ED97">
        <v>3</v>
      </c>
      <c r="EE97">
        <v>0</v>
      </c>
      <c r="EF97">
        <v>0</v>
      </c>
      <c r="EG97">
        <v>0</v>
      </c>
      <c r="EH97">
        <v>17</v>
      </c>
      <c r="EI97">
        <v>2</v>
      </c>
      <c r="EJ97">
        <v>0</v>
      </c>
      <c r="EK97">
        <v>1</v>
      </c>
      <c r="EL97">
        <v>0</v>
      </c>
      <c r="EM97">
        <v>0</v>
      </c>
      <c r="EN97">
        <v>0</v>
      </c>
      <c r="EO97">
        <v>0</v>
      </c>
      <c r="EP97">
        <v>1</v>
      </c>
      <c r="EQ97">
        <v>0</v>
      </c>
      <c r="ER97">
        <v>2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</row>
    <row r="98" spans="1:172" ht="14.25">
      <c r="A98">
        <v>93</v>
      </c>
      <c r="B98" t="str">
        <f t="shared" si="13"/>
        <v>101103</v>
      </c>
      <c r="C98" t="str">
        <f t="shared" si="14"/>
        <v>Poddębice</v>
      </c>
      <c r="D98" t="str">
        <f t="shared" si="12"/>
        <v>poddębicki</v>
      </c>
      <c r="E98" t="str">
        <f t="shared" si="11"/>
        <v>łódzkie</v>
      </c>
      <c r="F98">
        <v>5</v>
      </c>
      <c r="G98" t="str">
        <f>"Miejska i Gminna Biblioteka Publiczna im. Ziemowita Skibińskiego w Poddębicach, Łódzka 31, 99-200 Poddębice"</f>
        <v>Miejska i Gminna Biblioteka Publiczna im. Ziemowita Skibińskiego w Poddębicach, Łódzka 31, 99-200 Poddębice</v>
      </c>
      <c r="H98">
        <v>823</v>
      </c>
      <c r="I98">
        <v>823</v>
      </c>
      <c r="J98">
        <v>0</v>
      </c>
      <c r="K98">
        <v>580</v>
      </c>
      <c r="L98">
        <v>368</v>
      </c>
      <c r="M98">
        <v>212</v>
      </c>
      <c r="N98">
        <v>212</v>
      </c>
      <c r="O98">
        <v>0</v>
      </c>
      <c r="P98">
        <v>0</v>
      </c>
      <c r="Q98">
        <v>7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212</v>
      </c>
      <c r="Z98">
        <v>0</v>
      </c>
      <c r="AA98">
        <v>0</v>
      </c>
      <c r="AB98">
        <v>212</v>
      </c>
      <c r="AC98">
        <v>11</v>
      </c>
      <c r="AD98">
        <v>201</v>
      </c>
      <c r="AE98">
        <v>2</v>
      </c>
      <c r="AF98">
        <v>0</v>
      </c>
      <c r="AG98">
        <v>0</v>
      </c>
      <c r="AH98">
        <v>2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2</v>
      </c>
      <c r="AQ98">
        <v>1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1</v>
      </c>
      <c r="BC98">
        <v>14</v>
      </c>
      <c r="BD98">
        <v>8</v>
      </c>
      <c r="BE98">
        <v>2</v>
      </c>
      <c r="BF98">
        <v>4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14</v>
      </c>
      <c r="BO98">
        <v>65</v>
      </c>
      <c r="BP98">
        <v>25</v>
      </c>
      <c r="BQ98">
        <v>0</v>
      </c>
      <c r="BR98">
        <v>1</v>
      </c>
      <c r="BS98">
        <v>39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65</v>
      </c>
      <c r="CA98">
        <v>4</v>
      </c>
      <c r="CB98">
        <v>1</v>
      </c>
      <c r="CC98">
        <v>0</v>
      </c>
      <c r="CD98">
        <v>0</v>
      </c>
      <c r="CE98">
        <v>0</v>
      </c>
      <c r="CF98">
        <v>0</v>
      </c>
      <c r="CG98">
        <v>1</v>
      </c>
      <c r="CH98">
        <v>1</v>
      </c>
      <c r="CI98">
        <v>1</v>
      </c>
      <c r="CJ98">
        <v>0</v>
      </c>
      <c r="CK98">
        <v>0</v>
      </c>
      <c r="CL98">
        <v>4</v>
      </c>
      <c r="CM98">
        <v>2</v>
      </c>
      <c r="CN98">
        <v>1</v>
      </c>
      <c r="CO98">
        <v>0</v>
      </c>
      <c r="CP98">
        <v>0</v>
      </c>
      <c r="CQ98">
        <v>0</v>
      </c>
      <c r="CR98">
        <v>1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2</v>
      </c>
      <c r="CY98">
        <v>19</v>
      </c>
      <c r="CZ98">
        <v>10</v>
      </c>
      <c r="DA98">
        <v>3</v>
      </c>
      <c r="DB98">
        <v>0</v>
      </c>
      <c r="DC98">
        <v>1</v>
      </c>
      <c r="DD98">
        <v>1</v>
      </c>
      <c r="DE98">
        <v>1</v>
      </c>
      <c r="DF98">
        <v>0</v>
      </c>
      <c r="DG98">
        <v>0</v>
      </c>
      <c r="DH98">
        <v>1</v>
      </c>
      <c r="DI98">
        <v>2</v>
      </c>
      <c r="DJ98">
        <v>19</v>
      </c>
      <c r="DK98">
        <v>76</v>
      </c>
      <c r="DL98">
        <v>45</v>
      </c>
      <c r="DM98">
        <v>22</v>
      </c>
      <c r="DN98">
        <v>1</v>
      </c>
      <c r="DO98">
        <v>0</v>
      </c>
      <c r="DP98">
        <v>2</v>
      </c>
      <c r="DQ98">
        <v>0</v>
      </c>
      <c r="DR98">
        <v>2</v>
      </c>
      <c r="DS98">
        <v>2</v>
      </c>
      <c r="DT98">
        <v>1</v>
      </c>
      <c r="DU98">
        <v>1</v>
      </c>
      <c r="DV98">
        <v>76</v>
      </c>
      <c r="DW98">
        <v>16</v>
      </c>
      <c r="DX98">
        <v>4</v>
      </c>
      <c r="DY98">
        <v>0</v>
      </c>
      <c r="DZ98">
        <v>0</v>
      </c>
      <c r="EA98">
        <v>4</v>
      </c>
      <c r="EB98">
        <v>0</v>
      </c>
      <c r="EC98">
        <v>6</v>
      </c>
      <c r="ED98">
        <v>2</v>
      </c>
      <c r="EE98">
        <v>0</v>
      </c>
      <c r="EF98">
        <v>0</v>
      </c>
      <c r="EG98">
        <v>0</v>
      </c>
      <c r="EH98">
        <v>16</v>
      </c>
      <c r="EI98">
        <v>2</v>
      </c>
      <c r="EJ98">
        <v>0</v>
      </c>
      <c r="EK98">
        <v>2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2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</row>
    <row r="99" spans="1:172" ht="14.25">
      <c r="A99">
        <v>94</v>
      </c>
      <c r="B99" t="str">
        <f t="shared" si="13"/>
        <v>101103</v>
      </c>
      <c r="C99" t="str">
        <f t="shared" si="14"/>
        <v>Poddębice</v>
      </c>
      <c r="D99" t="str">
        <f t="shared" si="12"/>
        <v>poddębicki</v>
      </c>
      <c r="E99" t="str">
        <f t="shared" si="11"/>
        <v>łódzkie</v>
      </c>
      <c r="F99">
        <v>6</v>
      </c>
      <c r="G99" t="str">
        <f>"Gimnazjum w Poddębicach, Polna 36, 99-200 Poddębice"</f>
        <v>Gimnazjum w Poddębicach, Polna 36, 99-200 Poddębice</v>
      </c>
      <c r="H99">
        <v>1133</v>
      </c>
      <c r="I99">
        <v>1133</v>
      </c>
      <c r="J99">
        <v>0</v>
      </c>
      <c r="K99">
        <v>799</v>
      </c>
      <c r="L99">
        <v>544</v>
      </c>
      <c r="M99">
        <v>255</v>
      </c>
      <c r="N99">
        <v>255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255</v>
      </c>
      <c r="Z99">
        <v>0</v>
      </c>
      <c r="AA99">
        <v>0</v>
      </c>
      <c r="AB99">
        <v>255</v>
      </c>
      <c r="AC99">
        <v>16</v>
      </c>
      <c r="AD99">
        <v>239</v>
      </c>
      <c r="AE99">
        <v>3</v>
      </c>
      <c r="AF99">
        <v>2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3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24</v>
      </c>
      <c r="BD99">
        <v>10</v>
      </c>
      <c r="BE99">
        <v>5</v>
      </c>
      <c r="BF99">
        <v>2</v>
      </c>
      <c r="BG99">
        <v>2</v>
      </c>
      <c r="BH99">
        <v>0</v>
      </c>
      <c r="BI99">
        <v>0</v>
      </c>
      <c r="BJ99">
        <v>0</v>
      </c>
      <c r="BK99">
        <v>4</v>
      </c>
      <c r="BL99">
        <v>1</v>
      </c>
      <c r="BM99">
        <v>0</v>
      </c>
      <c r="BN99">
        <v>24</v>
      </c>
      <c r="BO99">
        <v>84</v>
      </c>
      <c r="BP99">
        <v>29</v>
      </c>
      <c r="BQ99">
        <v>3</v>
      </c>
      <c r="BR99">
        <v>3</v>
      </c>
      <c r="BS99">
        <v>49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84</v>
      </c>
      <c r="CA99">
        <v>7</v>
      </c>
      <c r="CB99">
        <v>3</v>
      </c>
      <c r="CC99">
        <v>3</v>
      </c>
      <c r="CD99">
        <v>0</v>
      </c>
      <c r="CE99">
        <v>0</v>
      </c>
      <c r="CF99">
        <v>0</v>
      </c>
      <c r="CG99">
        <v>0</v>
      </c>
      <c r="CH99">
        <v>1</v>
      </c>
      <c r="CI99">
        <v>0</v>
      </c>
      <c r="CJ99">
        <v>0</v>
      </c>
      <c r="CK99">
        <v>0</v>
      </c>
      <c r="CL99">
        <v>7</v>
      </c>
      <c r="CM99">
        <v>1</v>
      </c>
      <c r="CN99">
        <v>1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1</v>
      </c>
      <c r="CY99">
        <v>13</v>
      </c>
      <c r="CZ99">
        <v>6</v>
      </c>
      <c r="DA99">
        <v>0</v>
      </c>
      <c r="DB99">
        <v>0</v>
      </c>
      <c r="DC99">
        <v>0</v>
      </c>
      <c r="DD99">
        <v>1</v>
      </c>
      <c r="DE99">
        <v>1</v>
      </c>
      <c r="DF99">
        <v>1</v>
      </c>
      <c r="DG99">
        <v>2</v>
      </c>
      <c r="DH99">
        <v>0</v>
      </c>
      <c r="DI99">
        <v>2</v>
      </c>
      <c r="DJ99">
        <v>13</v>
      </c>
      <c r="DK99">
        <v>87</v>
      </c>
      <c r="DL99">
        <v>49</v>
      </c>
      <c r="DM99">
        <v>30</v>
      </c>
      <c r="DN99">
        <v>0</v>
      </c>
      <c r="DO99">
        <v>1</v>
      </c>
      <c r="DP99">
        <v>0</v>
      </c>
      <c r="DQ99">
        <v>0</v>
      </c>
      <c r="DR99">
        <v>0</v>
      </c>
      <c r="DS99">
        <v>2</v>
      </c>
      <c r="DT99">
        <v>2</v>
      </c>
      <c r="DU99">
        <v>3</v>
      </c>
      <c r="DV99">
        <v>87</v>
      </c>
      <c r="DW99">
        <v>18</v>
      </c>
      <c r="DX99">
        <v>2</v>
      </c>
      <c r="DY99">
        <v>3</v>
      </c>
      <c r="DZ99">
        <v>0</v>
      </c>
      <c r="EA99">
        <v>3</v>
      </c>
      <c r="EB99">
        <v>0</v>
      </c>
      <c r="EC99">
        <v>9</v>
      </c>
      <c r="ED99">
        <v>1</v>
      </c>
      <c r="EE99">
        <v>0</v>
      </c>
      <c r="EF99">
        <v>0</v>
      </c>
      <c r="EG99">
        <v>0</v>
      </c>
      <c r="EH99">
        <v>18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1</v>
      </c>
      <c r="FC99">
        <v>0</v>
      </c>
      <c r="FD99">
        <v>1</v>
      </c>
      <c r="FE99">
        <v>1</v>
      </c>
      <c r="FF99">
        <v>1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1</v>
      </c>
    </row>
    <row r="100" spans="1:172" ht="14.25">
      <c r="A100">
        <v>95</v>
      </c>
      <c r="B100" t="str">
        <f t="shared" si="13"/>
        <v>101103</v>
      </c>
      <c r="C100" t="str">
        <f t="shared" si="14"/>
        <v>Poddębice</v>
      </c>
      <c r="D100" t="str">
        <f t="shared" si="12"/>
        <v>poddębicki</v>
      </c>
      <c r="E100" t="str">
        <f t="shared" si="11"/>
        <v>łódzkie</v>
      </c>
      <c r="F100">
        <v>7</v>
      </c>
      <c r="G100" t="str">
        <f>"Gimnazjum w Poddębicach, Polna 36, 99-200 Poddębice"</f>
        <v>Gimnazjum w Poddębicach, Polna 36, 99-200 Poddębice</v>
      </c>
      <c r="H100">
        <v>972</v>
      </c>
      <c r="I100">
        <v>972</v>
      </c>
      <c r="J100">
        <v>0</v>
      </c>
      <c r="K100">
        <v>691</v>
      </c>
      <c r="L100">
        <v>468</v>
      </c>
      <c r="M100">
        <v>223</v>
      </c>
      <c r="N100">
        <v>223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222</v>
      </c>
      <c r="Z100">
        <v>0</v>
      </c>
      <c r="AA100">
        <v>0</v>
      </c>
      <c r="AB100">
        <v>222</v>
      </c>
      <c r="AC100">
        <v>8</v>
      </c>
      <c r="AD100">
        <v>214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2</v>
      </c>
      <c r="AR100">
        <v>2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2</v>
      </c>
      <c r="BC100">
        <v>22</v>
      </c>
      <c r="BD100">
        <v>11</v>
      </c>
      <c r="BE100">
        <v>4</v>
      </c>
      <c r="BF100">
        <v>6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22</v>
      </c>
      <c r="BO100">
        <v>78</v>
      </c>
      <c r="BP100">
        <v>34</v>
      </c>
      <c r="BQ100">
        <v>0</v>
      </c>
      <c r="BR100">
        <v>2</v>
      </c>
      <c r="BS100">
        <v>42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78</v>
      </c>
      <c r="CA100">
        <v>1</v>
      </c>
      <c r="CB100">
        <v>0</v>
      </c>
      <c r="CC100">
        <v>1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1</v>
      </c>
      <c r="CM100">
        <v>10</v>
      </c>
      <c r="CN100">
        <v>3</v>
      </c>
      <c r="CO100">
        <v>2</v>
      </c>
      <c r="CP100">
        <v>0</v>
      </c>
      <c r="CQ100">
        <v>0</v>
      </c>
      <c r="CR100">
        <v>5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10</v>
      </c>
      <c r="CY100">
        <v>18</v>
      </c>
      <c r="CZ100">
        <v>10</v>
      </c>
      <c r="DA100">
        <v>2</v>
      </c>
      <c r="DB100">
        <v>1</v>
      </c>
      <c r="DC100">
        <v>0</v>
      </c>
      <c r="DD100">
        <v>3</v>
      </c>
      <c r="DE100">
        <v>0</v>
      </c>
      <c r="DF100">
        <v>0</v>
      </c>
      <c r="DG100">
        <v>0</v>
      </c>
      <c r="DH100">
        <v>0</v>
      </c>
      <c r="DI100">
        <v>2</v>
      </c>
      <c r="DJ100">
        <v>18</v>
      </c>
      <c r="DK100">
        <v>53</v>
      </c>
      <c r="DL100">
        <v>29</v>
      </c>
      <c r="DM100">
        <v>15</v>
      </c>
      <c r="DN100">
        <v>0</v>
      </c>
      <c r="DO100">
        <v>2</v>
      </c>
      <c r="DP100">
        <v>1</v>
      </c>
      <c r="DQ100">
        <v>0</v>
      </c>
      <c r="DR100">
        <v>0</v>
      </c>
      <c r="DS100">
        <v>0</v>
      </c>
      <c r="DT100">
        <v>3</v>
      </c>
      <c r="DU100">
        <v>3</v>
      </c>
      <c r="DV100">
        <v>53</v>
      </c>
      <c r="DW100">
        <v>28</v>
      </c>
      <c r="DX100">
        <v>3</v>
      </c>
      <c r="DY100">
        <v>0</v>
      </c>
      <c r="DZ100">
        <v>0</v>
      </c>
      <c r="EA100">
        <v>11</v>
      </c>
      <c r="EB100">
        <v>0</v>
      </c>
      <c r="EC100">
        <v>11</v>
      </c>
      <c r="ED100">
        <v>2</v>
      </c>
      <c r="EE100">
        <v>0</v>
      </c>
      <c r="EF100">
        <v>0</v>
      </c>
      <c r="EG100">
        <v>1</v>
      </c>
      <c r="EH100">
        <v>28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1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1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1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1</v>
      </c>
      <c r="FM100">
        <v>0</v>
      </c>
      <c r="FN100">
        <v>0</v>
      </c>
      <c r="FO100">
        <v>0</v>
      </c>
      <c r="FP100">
        <v>1</v>
      </c>
    </row>
    <row r="101" spans="1:172" ht="14.25">
      <c r="A101">
        <v>96</v>
      </c>
      <c r="B101" t="str">
        <f t="shared" si="13"/>
        <v>101103</v>
      </c>
      <c r="C101" t="str">
        <f t="shared" si="14"/>
        <v>Poddębice</v>
      </c>
      <c r="D101" t="str">
        <f t="shared" si="12"/>
        <v>poddębicki</v>
      </c>
      <c r="E101" t="str">
        <f t="shared" si="11"/>
        <v>łódzkie</v>
      </c>
      <c r="F101">
        <v>8</v>
      </c>
      <c r="G101" t="str">
        <f>"Sala OSP w Sworawie, Sworawa 28, 99-200 Poddębice"</f>
        <v>Sala OSP w Sworawie, Sworawa 28, 99-200 Poddębice</v>
      </c>
      <c r="H101">
        <v>458</v>
      </c>
      <c r="I101">
        <v>458</v>
      </c>
      <c r="J101">
        <v>0</v>
      </c>
      <c r="K101">
        <v>316</v>
      </c>
      <c r="L101">
        <v>233</v>
      </c>
      <c r="M101">
        <v>83</v>
      </c>
      <c r="N101">
        <v>83</v>
      </c>
      <c r="O101">
        <v>0</v>
      </c>
      <c r="P101">
        <v>0</v>
      </c>
      <c r="Q101">
        <v>2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83</v>
      </c>
      <c r="Z101">
        <v>0</v>
      </c>
      <c r="AA101">
        <v>0</v>
      </c>
      <c r="AB101">
        <v>83</v>
      </c>
      <c r="AC101">
        <v>2</v>
      </c>
      <c r="AD101">
        <v>81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7</v>
      </c>
      <c r="BD101">
        <v>2</v>
      </c>
      <c r="BE101">
        <v>2</v>
      </c>
      <c r="BF101">
        <v>0</v>
      </c>
      <c r="BG101">
        <v>2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1</v>
      </c>
      <c r="BN101">
        <v>7</v>
      </c>
      <c r="BO101">
        <v>34</v>
      </c>
      <c r="BP101">
        <v>13</v>
      </c>
      <c r="BQ101">
        <v>0</v>
      </c>
      <c r="BR101">
        <v>1</v>
      </c>
      <c r="BS101">
        <v>20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34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2</v>
      </c>
      <c r="CN101">
        <v>1</v>
      </c>
      <c r="CO101">
        <v>0</v>
      </c>
      <c r="CP101">
        <v>0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2</v>
      </c>
      <c r="CY101">
        <v>9</v>
      </c>
      <c r="CZ101">
        <v>6</v>
      </c>
      <c r="DA101">
        <v>0</v>
      </c>
      <c r="DB101">
        <v>1</v>
      </c>
      <c r="DC101">
        <v>0</v>
      </c>
      <c r="DD101">
        <v>0</v>
      </c>
      <c r="DE101">
        <v>1</v>
      </c>
      <c r="DF101">
        <v>0</v>
      </c>
      <c r="DG101">
        <v>0</v>
      </c>
      <c r="DH101">
        <v>0</v>
      </c>
      <c r="DI101">
        <v>1</v>
      </c>
      <c r="DJ101">
        <v>9</v>
      </c>
      <c r="DK101">
        <v>11</v>
      </c>
      <c r="DL101">
        <v>9</v>
      </c>
      <c r="DM101">
        <v>0</v>
      </c>
      <c r="DN101">
        <v>0</v>
      </c>
      <c r="DO101">
        <v>1</v>
      </c>
      <c r="DP101">
        <v>0</v>
      </c>
      <c r="DQ101">
        <v>1</v>
      </c>
      <c r="DR101">
        <v>0</v>
      </c>
      <c r="DS101">
        <v>0</v>
      </c>
      <c r="DT101">
        <v>0</v>
      </c>
      <c r="DU101">
        <v>0</v>
      </c>
      <c r="DV101">
        <v>11</v>
      </c>
      <c r="DW101">
        <v>15</v>
      </c>
      <c r="DX101">
        <v>6</v>
      </c>
      <c r="DY101">
        <v>1</v>
      </c>
      <c r="DZ101">
        <v>0</v>
      </c>
      <c r="EA101">
        <v>5</v>
      </c>
      <c r="EB101">
        <v>0</v>
      </c>
      <c r="EC101">
        <v>3</v>
      </c>
      <c r="ED101">
        <v>0</v>
      </c>
      <c r="EE101">
        <v>0</v>
      </c>
      <c r="EF101">
        <v>0</v>
      </c>
      <c r="EG101">
        <v>0</v>
      </c>
      <c r="EH101">
        <v>15</v>
      </c>
      <c r="EI101">
        <v>2</v>
      </c>
      <c r="EJ101">
        <v>0</v>
      </c>
      <c r="EK101">
        <v>2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2</v>
      </c>
      <c r="ES101">
        <v>1</v>
      </c>
      <c r="ET101">
        <v>1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1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</row>
    <row r="102" spans="1:172" ht="14.25">
      <c r="A102">
        <v>97</v>
      </c>
      <c r="B102" t="str">
        <f t="shared" si="13"/>
        <v>101103</v>
      </c>
      <c r="C102" t="str">
        <f t="shared" si="14"/>
        <v>Poddębice</v>
      </c>
      <c r="D102" t="str">
        <f t="shared" si="12"/>
        <v>poddębicki</v>
      </c>
      <c r="E102" t="str">
        <f t="shared" si="11"/>
        <v>łódzkie</v>
      </c>
      <c r="F102">
        <v>9</v>
      </c>
      <c r="G102" t="str">
        <f>"Sala OSP w Panaszewie, Panaszew 24A, 99-200 Poddębice"</f>
        <v>Sala OSP w Panaszewie, Panaszew 24A, 99-200 Poddębice</v>
      </c>
      <c r="H102">
        <v>419</v>
      </c>
      <c r="I102">
        <v>419</v>
      </c>
      <c r="J102">
        <v>0</v>
      </c>
      <c r="K102">
        <v>300</v>
      </c>
      <c r="L102">
        <v>247</v>
      </c>
      <c r="M102">
        <v>53</v>
      </c>
      <c r="N102">
        <v>53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53</v>
      </c>
      <c r="Z102">
        <v>0</v>
      </c>
      <c r="AA102">
        <v>0</v>
      </c>
      <c r="AB102">
        <v>53</v>
      </c>
      <c r="AC102">
        <v>1</v>
      </c>
      <c r="AD102">
        <v>52</v>
      </c>
      <c r="AE102">
        <v>1</v>
      </c>
      <c r="AF102">
        <v>1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1</v>
      </c>
      <c r="AQ102">
        <v>1</v>
      </c>
      <c r="AR102"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1</v>
      </c>
      <c r="BC102">
        <v>6</v>
      </c>
      <c r="BD102">
        <v>2</v>
      </c>
      <c r="BE102">
        <v>0</v>
      </c>
      <c r="BF102">
        <v>4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6</v>
      </c>
      <c r="BO102">
        <v>21</v>
      </c>
      <c r="BP102">
        <v>15</v>
      </c>
      <c r="BQ102">
        <v>0</v>
      </c>
      <c r="BR102">
        <v>0</v>
      </c>
      <c r="BS102">
        <v>4</v>
      </c>
      <c r="BT102">
        <v>0</v>
      </c>
      <c r="BU102">
        <v>1</v>
      </c>
      <c r="BV102">
        <v>0</v>
      </c>
      <c r="BW102">
        <v>0</v>
      </c>
      <c r="BX102">
        <v>0</v>
      </c>
      <c r="BY102">
        <v>1</v>
      </c>
      <c r="BZ102">
        <v>21</v>
      </c>
      <c r="CA102">
        <v>4</v>
      </c>
      <c r="CB102">
        <v>1</v>
      </c>
      <c r="CC102">
        <v>2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1</v>
      </c>
      <c r="CK102">
        <v>0</v>
      </c>
      <c r="CL102">
        <v>4</v>
      </c>
      <c r="CM102">
        <v>6</v>
      </c>
      <c r="CN102">
        <v>1</v>
      </c>
      <c r="CO102">
        <v>0</v>
      </c>
      <c r="CP102">
        <v>0</v>
      </c>
      <c r="CQ102">
        <v>0</v>
      </c>
      <c r="CR102">
        <v>5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6</v>
      </c>
      <c r="CY102">
        <v>3</v>
      </c>
      <c r="CZ102">
        <v>3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3</v>
      </c>
      <c r="DK102">
        <v>9</v>
      </c>
      <c r="DL102">
        <v>7</v>
      </c>
      <c r="DM102">
        <v>1</v>
      </c>
      <c r="DN102">
        <v>0</v>
      </c>
      <c r="DO102">
        <v>1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9</v>
      </c>
      <c r="DW102">
        <v>1</v>
      </c>
      <c r="DX102">
        <v>1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1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</row>
    <row r="103" spans="1:172" ht="14.25">
      <c r="A103">
        <v>98</v>
      </c>
      <c r="B103" t="str">
        <f t="shared" si="13"/>
        <v>101103</v>
      </c>
      <c r="C103" t="str">
        <f t="shared" si="14"/>
        <v>Poddębice</v>
      </c>
      <c r="D103" t="str">
        <f t="shared" si="12"/>
        <v>poddębicki</v>
      </c>
      <c r="E103" t="str">
        <f t="shared" si="11"/>
        <v>łódzkie</v>
      </c>
      <c r="F103">
        <v>10</v>
      </c>
      <c r="G103" t="str">
        <f>"Sala OSP w Kałowie, Kałów 13, 99-200 Poddębice"</f>
        <v>Sala OSP w Kałowie, Kałów 13, 99-200 Poddębice</v>
      </c>
      <c r="H103">
        <v>773</v>
      </c>
      <c r="I103">
        <v>773</v>
      </c>
      <c r="J103">
        <v>0</v>
      </c>
      <c r="K103">
        <v>547</v>
      </c>
      <c r="L103">
        <v>437</v>
      </c>
      <c r="M103">
        <v>110</v>
      </c>
      <c r="N103">
        <v>110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110</v>
      </c>
      <c r="Z103">
        <v>0</v>
      </c>
      <c r="AA103">
        <v>0</v>
      </c>
      <c r="AB103">
        <v>110</v>
      </c>
      <c r="AC103">
        <v>1</v>
      </c>
      <c r="AD103">
        <v>109</v>
      </c>
      <c r="AE103">
        <v>5</v>
      </c>
      <c r="AF103">
        <v>4</v>
      </c>
      <c r="AG103">
        <v>0</v>
      </c>
      <c r="AH103">
        <v>0</v>
      </c>
      <c r="AI103">
        <v>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5</v>
      </c>
      <c r="AQ103">
        <v>2</v>
      </c>
      <c r="AR103">
        <v>1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1</v>
      </c>
      <c r="AZ103">
        <v>0</v>
      </c>
      <c r="BA103">
        <v>0</v>
      </c>
      <c r="BB103">
        <v>2</v>
      </c>
      <c r="BC103">
        <v>12</v>
      </c>
      <c r="BD103">
        <v>4</v>
      </c>
      <c r="BE103">
        <v>3</v>
      </c>
      <c r="BF103">
        <v>0</v>
      </c>
      <c r="BG103">
        <v>0</v>
      </c>
      <c r="BH103">
        <v>0</v>
      </c>
      <c r="BI103">
        <v>2</v>
      </c>
      <c r="BJ103">
        <v>0</v>
      </c>
      <c r="BK103">
        <v>1</v>
      </c>
      <c r="BL103">
        <v>0</v>
      </c>
      <c r="BM103">
        <v>2</v>
      </c>
      <c r="BN103">
        <v>12</v>
      </c>
      <c r="BO103">
        <v>36</v>
      </c>
      <c r="BP103">
        <v>13</v>
      </c>
      <c r="BQ103">
        <v>0</v>
      </c>
      <c r="BR103">
        <v>0</v>
      </c>
      <c r="BS103">
        <v>23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36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3</v>
      </c>
      <c r="CN103">
        <v>2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3</v>
      </c>
      <c r="CY103">
        <v>2</v>
      </c>
      <c r="CZ103">
        <v>0</v>
      </c>
      <c r="DA103">
        <v>0</v>
      </c>
      <c r="DB103">
        <v>1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1</v>
      </c>
      <c r="DI103">
        <v>0</v>
      </c>
      <c r="DJ103">
        <v>2</v>
      </c>
      <c r="DK103">
        <v>27</v>
      </c>
      <c r="DL103">
        <v>12</v>
      </c>
      <c r="DM103">
        <v>15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27</v>
      </c>
      <c r="DW103">
        <v>21</v>
      </c>
      <c r="DX103">
        <v>3</v>
      </c>
      <c r="DY103">
        <v>0</v>
      </c>
      <c r="DZ103">
        <v>0</v>
      </c>
      <c r="EA103">
        <v>14</v>
      </c>
      <c r="EB103">
        <v>0</v>
      </c>
      <c r="EC103">
        <v>2</v>
      </c>
      <c r="ED103">
        <v>0</v>
      </c>
      <c r="EE103">
        <v>1</v>
      </c>
      <c r="EF103">
        <v>0</v>
      </c>
      <c r="EG103">
        <v>1</v>
      </c>
      <c r="EH103">
        <v>21</v>
      </c>
      <c r="EI103">
        <v>1</v>
      </c>
      <c r="EJ103">
        <v>0</v>
      </c>
      <c r="EK103">
        <v>1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1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</row>
    <row r="104" spans="1:172" ht="14.25">
      <c r="A104">
        <v>99</v>
      </c>
      <c r="B104" t="str">
        <f t="shared" si="13"/>
        <v>101103</v>
      </c>
      <c r="C104" t="str">
        <f t="shared" si="14"/>
        <v>Poddębice</v>
      </c>
      <c r="D104" t="str">
        <f t="shared" si="12"/>
        <v>poddębicki</v>
      </c>
      <c r="E104" t="str">
        <f t="shared" si="11"/>
        <v>łódzkie</v>
      </c>
      <c r="F104">
        <v>11</v>
      </c>
      <c r="G104" t="str">
        <f>"Sala OSP w Niewieszu, Niewiesz Kolonia 39, 99-200 Poddębice"</f>
        <v>Sala OSP w Niewieszu, Niewiesz Kolonia 39, 99-200 Poddębice</v>
      </c>
      <c r="H104">
        <v>761</v>
      </c>
      <c r="I104">
        <v>761</v>
      </c>
      <c r="J104">
        <v>0</v>
      </c>
      <c r="K104">
        <v>530</v>
      </c>
      <c r="L104">
        <v>437</v>
      </c>
      <c r="M104">
        <v>93</v>
      </c>
      <c r="N104">
        <v>93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93</v>
      </c>
      <c r="Z104">
        <v>0</v>
      </c>
      <c r="AA104">
        <v>0</v>
      </c>
      <c r="AB104">
        <v>93</v>
      </c>
      <c r="AC104">
        <v>5</v>
      </c>
      <c r="AD104">
        <v>88</v>
      </c>
      <c r="AE104">
        <v>1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1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1</v>
      </c>
      <c r="AY104">
        <v>0</v>
      </c>
      <c r="AZ104">
        <v>0</v>
      </c>
      <c r="BA104">
        <v>0</v>
      </c>
      <c r="BB104">
        <v>1</v>
      </c>
      <c r="BC104">
        <v>2</v>
      </c>
      <c r="BD104">
        <v>0</v>
      </c>
      <c r="BE104">
        <v>1</v>
      </c>
      <c r="BF104">
        <v>0</v>
      </c>
      <c r="BG104">
        <v>0</v>
      </c>
      <c r="BH104">
        <v>0</v>
      </c>
      <c r="BI104">
        <v>1</v>
      </c>
      <c r="BJ104">
        <v>0</v>
      </c>
      <c r="BK104">
        <v>0</v>
      </c>
      <c r="BL104">
        <v>0</v>
      </c>
      <c r="BM104">
        <v>0</v>
      </c>
      <c r="BN104">
        <v>2</v>
      </c>
      <c r="BO104">
        <v>63</v>
      </c>
      <c r="BP104">
        <v>15</v>
      </c>
      <c r="BQ104">
        <v>0</v>
      </c>
      <c r="BR104">
        <v>0</v>
      </c>
      <c r="BS104">
        <v>45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3</v>
      </c>
      <c r="BZ104">
        <v>63</v>
      </c>
      <c r="CA104">
        <v>1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3</v>
      </c>
      <c r="CZ104">
        <v>2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3</v>
      </c>
      <c r="DK104">
        <v>9</v>
      </c>
      <c r="DL104">
        <v>5</v>
      </c>
      <c r="DM104">
        <v>3</v>
      </c>
      <c r="DN104">
        <v>1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9</v>
      </c>
      <c r="DW104">
        <v>6</v>
      </c>
      <c r="DX104">
        <v>0</v>
      </c>
      <c r="DY104">
        <v>0</v>
      </c>
      <c r="DZ104">
        <v>0</v>
      </c>
      <c r="EA104">
        <v>4</v>
      </c>
      <c r="EB104">
        <v>0</v>
      </c>
      <c r="EC104">
        <v>1</v>
      </c>
      <c r="ED104">
        <v>0</v>
      </c>
      <c r="EE104">
        <v>0</v>
      </c>
      <c r="EF104">
        <v>1</v>
      </c>
      <c r="EG104">
        <v>0</v>
      </c>
      <c r="EH104">
        <v>6</v>
      </c>
      <c r="EI104">
        <v>2</v>
      </c>
      <c r="EJ104">
        <v>0</v>
      </c>
      <c r="EK104">
        <v>2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2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</row>
    <row r="105" spans="1:172" ht="14.25">
      <c r="A105">
        <v>100</v>
      </c>
      <c r="B105" t="str">
        <f t="shared" si="13"/>
        <v>101103</v>
      </c>
      <c r="C105" t="str">
        <f t="shared" si="14"/>
        <v>Poddębice</v>
      </c>
      <c r="D105" t="str">
        <f t="shared" si="12"/>
        <v>poddębicki</v>
      </c>
      <c r="E105" t="str">
        <f t="shared" si="11"/>
        <v>łódzkie</v>
      </c>
      <c r="F105">
        <v>12</v>
      </c>
      <c r="G105" t="str">
        <f>"Sala OSP w Klementowie, Klementów 1C, 99-200 Poddębice"</f>
        <v>Sala OSP w Klementowie, Klementów 1C, 99-200 Poddębice</v>
      </c>
      <c r="H105">
        <v>869</v>
      </c>
      <c r="I105">
        <v>869</v>
      </c>
      <c r="J105">
        <v>0</v>
      </c>
      <c r="K105">
        <v>609</v>
      </c>
      <c r="L105">
        <v>445</v>
      </c>
      <c r="M105">
        <v>164</v>
      </c>
      <c r="N105">
        <v>164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164</v>
      </c>
      <c r="Z105">
        <v>0</v>
      </c>
      <c r="AA105">
        <v>0</v>
      </c>
      <c r="AB105">
        <v>164</v>
      </c>
      <c r="AC105">
        <v>5</v>
      </c>
      <c r="AD105">
        <v>159</v>
      </c>
      <c r="AE105">
        <v>3</v>
      </c>
      <c r="AF105">
        <v>3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3</v>
      </c>
      <c r="AQ105">
        <v>3</v>
      </c>
      <c r="AR105">
        <v>1</v>
      </c>
      <c r="AS105">
        <v>0</v>
      </c>
      <c r="AT105">
        <v>0</v>
      </c>
      <c r="AU105">
        <v>0</v>
      </c>
      <c r="AV105">
        <v>2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3</v>
      </c>
      <c r="BC105">
        <v>14</v>
      </c>
      <c r="BD105">
        <v>8</v>
      </c>
      <c r="BE105">
        <v>0</v>
      </c>
      <c r="BF105">
        <v>4</v>
      </c>
      <c r="BG105">
        <v>0</v>
      </c>
      <c r="BH105">
        <v>0</v>
      </c>
      <c r="BI105">
        <v>1</v>
      </c>
      <c r="BJ105">
        <v>0</v>
      </c>
      <c r="BK105">
        <v>1</v>
      </c>
      <c r="BL105">
        <v>0</v>
      </c>
      <c r="BM105">
        <v>0</v>
      </c>
      <c r="BN105">
        <v>14</v>
      </c>
      <c r="BO105">
        <v>61</v>
      </c>
      <c r="BP105">
        <v>24</v>
      </c>
      <c r="BQ105">
        <v>1</v>
      </c>
      <c r="BR105">
        <v>2</v>
      </c>
      <c r="BS105">
        <v>33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1</v>
      </c>
      <c r="BZ105">
        <v>61</v>
      </c>
      <c r="CA105">
        <v>3</v>
      </c>
      <c r="CB105">
        <v>2</v>
      </c>
      <c r="CC105">
        <v>1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3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5</v>
      </c>
      <c r="CZ105">
        <v>4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1</v>
      </c>
      <c r="DI105">
        <v>0</v>
      </c>
      <c r="DJ105">
        <v>5</v>
      </c>
      <c r="DK105">
        <v>26</v>
      </c>
      <c r="DL105">
        <v>16</v>
      </c>
      <c r="DM105">
        <v>7</v>
      </c>
      <c r="DN105">
        <v>1</v>
      </c>
      <c r="DO105">
        <v>1</v>
      </c>
      <c r="DP105">
        <v>0</v>
      </c>
      <c r="DQ105">
        <v>0</v>
      </c>
      <c r="DR105">
        <v>1</v>
      </c>
      <c r="DS105">
        <v>0</v>
      </c>
      <c r="DT105">
        <v>0</v>
      </c>
      <c r="DU105">
        <v>0</v>
      </c>
      <c r="DV105">
        <v>26</v>
      </c>
      <c r="DW105">
        <v>44</v>
      </c>
      <c r="DX105">
        <v>2</v>
      </c>
      <c r="DY105">
        <v>1</v>
      </c>
      <c r="DZ105">
        <v>0</v>
      </c>
      <c r="EA105">
        <v>30</v>
      </c>
      <c r="EB105">
        <v>0</v>
      </c>
      <c r="EC105">
        <v>6</v>
      </c>
      <c r="ED105">
        <v>1</v>
      </c>
      <c r="EE105">
        <v>0</v>
      </c>
      <c r="EF105">
        <v>1</v>
      </c>
      <c r="EG105">
        <v>3</v>
      </c>
      <c r="EH105">
        <v>44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</row>
    <row r="106" spans="1:172" ht="14.25">
      <c r="A106">
        <v>101</v>
      </c>
      <c r="B106" t="str">
        <f t="shared" si="13"/>
        <v>101103</v>
      </c>
      <c r="C106" t="str">
        <f t="shared" si="14"/>
        <v>Poddębice</v>
      </c>
      <c r="D106" t="str">
        <f t="shared" si="12"/>
        <v>poddębicki</v>
      </c>
      <c r="E106" t="str">
        <f t="shared" si="11"/>
        <v>łódzkie</v>
      </c>
      <c r="F106">
        <v>13</v>
      </c>
      <c r="G106" t="str">
        <f>"Szkoła Podstawowa im. Tadeusza Kościuszki w Niemysłowie, Niemysłów 32A, 99-200 Poddębice"</f>
        <v>Szkoła Podstawowa im. Tadeusza Kościuszki w Niemysłowie, Niemysłów 32A, 99-200 Poddębice</v>
      </c>
      <c r="H106">
        <v>823</v>
      </c>
      <c r="I106">
        <v>823</v>
      </c>
      <c r="J106">
        <v>0</v>
      </c>
      <c r="K106">
        <v>578</v>
      </c>
      <c r="L106">
        <v>492</v>
      </c>
      <c r="M106">
        <v>86</v>
      </c>
      <c r="N106">
        <v>86</v>
      </c>
      <c r="O106">
        <v>0</v>
      </c>
      <c r="P106">
        <v>0</v>
      </c>
      <c r="Q106">
        <v>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86</v>
      </c>
      <c r="Z106">
        <v>0</v>
      </c>
      <c r="AA106">
        <v>0</v>
      </c>
      <c r="AB106">
        <v>86</v>
      </c>
      <c r="AC106">
        <v>2</v>
      </c>
      <c r="AD106">
        <v>84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3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2</v>
      </c>
      <c r="AX106">
        <v>0</v>
      </c>
      <c r="AY106">
        <v>0</v>
      </c>
      <c r="AZ106">
        <v>0</v>
      </c>
      <c r="BA106">
        <v>0</v>
      </c>
      <c r="BB106">
        <v>3</v>
      </c>
      <c r="BC106">
        <v>2</v>
      </c>
      <c r="BD106">
        <v>1</v>
      </c>
      <c r="BE106">
        <v>1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2</v>
      </c>
      <c r="BO106">
        <v>39</v>
      </c>
      <c r="BP106">
        <v>24</v>
      </c>
      <c r="BQ106">
        <v>0</v>
      </c>
      <c r="BR106">
        <v>0</v>
      </c>
      <c r="BS106">
        <v>15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39</v>
      </c>
      <c r="CA106">
        <v>1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1</v>
      </c>
      <c r="CK106">
        <v>0</v>
      </c>
      <c r="CL106">
        <v>1</v>
      </c>
      <c r="CM106">
        <v>5</v>
      </c>
      <c r="CN106">
        <v>3</v>
      </c>
      <c r="CO106">
        <v>0</v>
      </c>
      <c r="CP106">
        <v>0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5</v>
      </c>
      <c r="CY106">
        <v>1</v>
      </c>
      <c r="CZ106">
        <v>0</v>
      </c>
      <c r="DA106">
        <v>1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1</v>
      </c>
      <c r="DK106">
        <v>21</v>
      </c>
      <c r="DL106">
        <v>16</v>
      </c>
      <c r="DM106">
        <v>4</v>
      </c>
      <c r="DN106">
        <v>0</v>
      </c>
      <c r="DO106">
        <v>1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21</v>
      </c>
      <c r="DW106">
        <v>9</v>
      </c>
      <c r="DX106">
        <v>3</v>
      </c>
      <c r="DY106">
        <v>0</v>
      </c>
      <c r="DZ106">
        <v>0</v>
      </c>
      <c r="EA106">
        <v>0</v>
      </c>
      <c r="EB106">
        <v>0</v>
      </c>
      <c r="EC106">
        <v>5</v>
      </c>
      <c r="ED106">
        <v>0</v>
      </c>
      <c r="EE106">
        <v>0</v>
      </c>
      <c r="EF106">
        <v>0</v>
      </c>
      <c r="EG106">
        <v>1</v>
      </c>
      <c r="EH106">
        <v>9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3</v>
      </c>
      <c r="ET106">
        <v>1</v>
      </c>
      <c r="EU106">
        <v>0</v>
      </c>
      <c r="EV106">
        <v>1</v>
      </c>
      <c r="EW106">
        <v>0</v>
      </c>
      <c r="EX106">
        <v>0</v>
      </c>
      <c r="EY106">
        <v>0</v>
      </c>
      <c r="EZ106">
        <v>0</v>
      </c>
      <c r="FA106">
        <v>1</v>
      </c>
      <c r="FB106">
        <v>0</v>
      </c>
      <c r="FC106">
        <v>0</v>
      </c>
      <c r="FD106">
        <v>3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</row>
    <row r="107" spans="1:172" ht="14.25">
      <c r="A107">
        <v>102</v>
      </c>
      <c r="B107" t="str">
        <f t="shared" si="13"/>
        <v>101103</v>
      </c>
      <c r="C107" t="str">
        <f t="shared" si="14"/>
        <v>Poddębice</v>
      </c>
      <c r="D107" t="str">
        <f t="shared" si="12"/>
        <v>poddębicki</v>
      </c>
      <c r="E107" t="str">
        <f t="shared" si="11"/>
        <v>łódzkie</v>
      </c>
      <c r="F107">
        <v>14</v>
      </c>
      <c r="G107" t="str">
        <f>"Budynek byłej Szkoły Podstawowej w Lipnicy, Lipnica 22A, 99-200 Poddębice"</f>
        <v>Budynek byłej Szkoły Podstawowej w Lipnicy, Lipnica 22A, 99-200 Poddębice</v>
      </c>
      <c r="H107">
        <v>701</v>
      </c>
      <c r="I107">
        <v>701</v>
      </c>
      <c r="J107">
        <v>0</v>
      </c>
      <c r="K107">
        <v>485</v>
      </c>
      <c r="L107">
        <v>401</v>
      </c>
      <c r="M107">
        <v>84</v>
      </c>
      <c r="N107">
        <v>84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84</v>
      </c>
      <c r="Z107">
        <v>0</v>
      </c>
      <c r="AA107">
        <v>0</v>
      </c>
      <c r="AB107">
        <v>84</v>
      </c>
      <c r="AC107">
        <v>6</v>
      </c>
      <c r="AD107">
        <v>78</v>
      </c>
      <c r="AE107">
        <v>1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49</v>
      </c>
      <c r="BP107">
        <v>17</v>
      </c>
      <c r="BQ107">
        <v>1</v>
      </c>
      <c r="BR107">
        <v>0</v>
      </c>
      <c r="BS107">
        <v>30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1</v>
      </c>
      <c r="BZ107">
        <v>49</v>
      </c>
      <c r="CA107">
        <v>2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2</v>
      </c>
      <c r="CL107">
        <v>2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1</v>
      </c>
      <c r="DI107">
        <v>0</v>
      </c>
      <c r="DJ107">
        <v>1</v>
      </c>
      <c r="DK107">
        <v>8</v>
      </c>
      <c r="DL107">
        <v>7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1</v>
      </c>
      <c r="DS107">
        <v>0</v>
      </c>
      <c r="DT107">
        <v>0</v>
      </c>
      <c r="DU107">
        <v>0</v>
      </c>
      <c r="DV107">
        <v>8</v>
      </c>
      <c r="DW107">
        <v>15</v>
      </c>
      <c r="DX107">
        <v>2</v>
      </c>
      <c r="DY107">
        <v>1</v>
      </c>
      <c r="DZ107">
        <v>0</v>
      </c>
      <c r="EA107">
        <v>10</v>
      </c>
      <c r="EB107">
        <v>0</v>
      </c>
      <c r="EC107">
        <v>2</v>
      </c>
      <c r="ED107">
        <v>0</v>
      </c>
      <c r="EE107">
        <v>0</v>
      </c>
      <c r="EF107">
        <v>0</v>
      </c>
      <c r="EG107">
        <v>0</v>
      </c>
      <c r="EH107">
        <v>15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2</v>
      </c>
      <c r="FF107">
        <v>0</v>
      </c>
      <c r="FG107">
        <v>2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2</v>
      </c>
    </row>
    <row r="108" spans="1:172" ht="14.25">
      <c r="A108">
        <v>103</v>
      </c>
      <c r="B108" t="str">
        <f t="shared" si="13"/>
        <v>101103</v>
      </c>
      <c r="C108" t="str">
        <f t="shared" si="14"/>
        <v>Poddębice</v>
      </c>
      <c r="D108" t="str">
        <f t="shared" si="12"/>
        <v>poddębicki</v>
      </c>
      <c r="E108" t="str">
        <f t="shared" si="11"/>
        <v>łódzkie</v>
      </c>
      <c r="F108">
        <v>15</v>
      </c>
      <c r="G108" t="str">
        <f>"Szkoła Podstawowa w Bałdrzychowie, Bałdrzychów 13a, 99-200 Poddębice"</f>
        <v>Szkoła Podstawowa w Bałdrzychowie, Bałdrzychów 13a, 99-200 Poddębice</v>
      </c>
      <c r="H108">
        <v>872</v>
      </c>
      <c r="I108">
        <v>872</v>
      </c>
      <c r="J108">
        <v>0</v>
      </c>
      <c r="K108">
        <v>616</v>
      </c>
      <c r="L108">
        <v>499</v>
      </c>
      <c r="M108">
        <v>117</v>
      </c>
      <c r="N108">
        <v>117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117</v>
      </c>
      <c r="Z108">
        <v>0</v>
      </c>
      <c r="AA108">
        <v>0</v>
      </c>
      <c r="AB108">
        <v>117</v>
      </c>
      <c r="AC108">
        <v>4</v>
      </c>
      <c r="AD108">
        <v>113</v>
      </c>
      <c r="AE108">
        <v>5</v>
      </c>
      <c r="AF108">
        <v>1</v>
      </c>
      <c r="AG108">
        <v>1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3</v>
      </c>
      <c r="AP108">
        <v>5</v>
      </c>
      <c r="AQ108">
        <v>1</v>
      </c>
      <c r="AR108">
        <v>0</v>
      </c>
      <c r="AS108">
        <v>1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1</v>
      </c>
      <c r="BC108">
        <v>9</v>
      </c>
      <c r="BD108">
        <v>2</v>
      </c>
      <c r="BE108">
        <v>4</v>
      </c>
      <c r="BF108">
        <v>1</v>
      </c>
      <c r="BG108">
        <v>1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1</v>
      </c>
      <c r="BN108">
        <v>9</v>
      </c>
      <c r="BO108">
        <v>44</v>
      </c>
      <c r="BP108">
        <v>14</v>
      </c>
      <c r="BQ108">
        <v>2</v>
      </c>
      <c r="BR108">
        <v>0</v>
      </c>
      <c r="BS108">
        <v>25</v>
      </c>
      <c r="BT108">
        <v>1</v>
      </c>
      <c r="BU108">
        <v>0</v>
      </c>
      <c r="BV108">
        <v>0</v>
      </c>
      <c r="BW108">
        <v>0</v>
      </c>
      <c r="BX108">
        <v>0</v>
      </c>
      <c r="BY108">
        <v>2</v>
      </c>
      <c r="BZ108">
        <v>44</v>
      </c>
      <c r="CA108">
        <v>1</v>
      </c>
      <c r="CB108">
        <v>0</v>
      </c>
      <c r="CC108">
        <v>0</v>
      </c>
      <c r="CD108">
        <v>0</v>
      </c>
      <c r="CE108">
        <v>0</v>
      </c>
      <c r="CF108">
        <v>1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1</v>
      </c>
      <c r="CM108">
        <v>1</v>
      </c>
      <c r="CN108">
        <v>1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1</v>
      </c>
      <c r="CY108">
        <v>8</v>
      </c>
      <c r="CZ108">
        <v>3</v>
      </c>
      <c r="DA108">
        <v>2</v>
      </c>
      <c r="DB108">
        <v>0</v>
      </c>
      <c r="DC108">
        <v>0</v>
      </c>
      <c r="DD108">
        <v>0</v>
      </c>
      <c r="DE108">
        <v>0</v>
      </c>
      <c r="DF108">
        <v>1</v>
      </c>
      <c r="DG108">
        <v>1</v>
      </c>
      <c r="DH108">
        <v>0</v>
      </c>
      <c r="DI108">
        <v>1</v>
      </c>
      <c r="DJ108">
        <v>8</v>
      </c>
      <c r="DK108">
        <v>25</v>
      </c>
      <c r="DL108">
        <v>14</v>
      </c>
      <c r="DM108">
        <v>11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25</v>
      </c>
      <c r="DW108">
        <v>17</v>
      </c>
      <c r="DX108">
        <v>1</v>
      </c>
      <c r="DY108">
        <v>1</v>
      </c>
      <c r="DZ108">
        <v>0</v>
      </c>
      <c r="EA108">
        <v>1</v>
      </c>
      <c r="EB108">
        <v>0</v>
      </c>
      <c r="EC108">
        <v>6</v>
      </c>
      <c r="ED108">
        <v>0</v>
      </c>
      <c r="EE108">
        <v>7</v>
      </c>
      <c r="EF108">
        <v>1</v>
      </c>
      <c r="EG108">
        <v>0</v>
      </c>
      <c r="EH108">
        <v>17</v>
      </c>
      <c r="EI108">
        <v>2</v>
      </c>
      <c r="EJ108">
        <v>1</v>
      </c>
      <c r="EK108">
        <v>1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2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</row>
    <row r="109" spans="1:172" ht="14.25">
      <c r="A109">
        <v>104</v>
      </c>
      <c r="B109" t="str">
        <f t="shared" si="13"/>
        <v>101103</v>
      </c>
      <c r="C109" t="str">
        <f t="shared" si="14"/>
        <v>Poddębice</v>
      </c>
      <c r="D109" t="str">
        <f t="shared" si="12"/>
        <v>poddębicki</v>
      </c>
      <c r="E109" t="str">
        <f t="shared" si="11"/>
        <v>łódzkie</v>
      </c>
      <c r="F109">
        <v>16</v>
      </c>
      <c r="G109" t="str">
        <f>"Sala OSP w Nowym Pudłowie, Nowy Pudłów 42, 99-200 Poddębice"</f>
        <v>Sala OSP w Nowym Pudłowie, Nowy Pudłów 42, 99-200 Poddębice</v>
      </c>
      <c r="H109">
        <v>354</v>
      </c>
      <c r="I109">
        <v>354</v>
      </c>
      <c r="J109">
        <v>0</v>
      </c>
      <c r="K109">
        <v>249</v>
      </c>
      <c r="L109">
        <v>183</v>
      </c>
      <c r="M109">
        <v>66</v>
      </c>
      <c r="N109">
        <v>66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66</v>
      </c>
      <c r="Z109">
        <v>0</v>
      </c>
      <c r="AA109">
        <v>0</v>
      </c>
      <c r="AB109">
        <v>66</v>
      </c>
      <c r="AC109">
        <v>1</v>
      </c>
      <c r="AD109">
        <v>65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4</v>
      </c>
      <c r="BD109">
        <v>2</v>
      </c>
      <c r="BE109">
        <v>0</v>
      </c>
      <c r="BF109">
        <v>0</v>
      </c>
      <c r="BG109">
        <v>0</v>
      </c>
      <c r="BH109">
        <v>1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4</v>
      </c>
      <c r="BO109">
        <v>31</v>
      </c>
      <c r="BP109">
        <v>10</v>
      </c>
      <c r="BQ109">
        <v>0</v>
      </c>
      <c r="BR109">
        <v>0</v>
      </c>
      <c r="BS109">
        <v>21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31</v>
      </c>
      <c r="CA109">
        <v>1</v>
      </c>
      <c r="CB109">
        <v>0</v>
      </c>
      <c r="CC109">
        <v>1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1</v>
      </c>
      <c r="CN109">
        <v>1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1</v>
      </c>
      <c r="CY109">
        <v>5</v>
      </c>
      <c r="CZ109">
        <v>3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2</v>
      </c>
      <c r="DH109">
        <v>0</v>
      </c>
      <c r="DI109">
        <v>0</v>
      </c>
      <c r="DJ109">
        <v>5</v>
      </c>
      <c r="DK109">
        <v>11</v>
      </c>
      <c r="DL109">
        <v>6</v>
      </c>
      <c r="DM109">
        <v>5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11</v>
      </c>
      <c r="DW109">
        <v>11</v>
      </c>
      <c r="DX109">
        <v>0</v>
      </c>
      <c r="DY109">
        <v>1</v>
      </c>
      <c r="DZ109">
        <v>0</v>
      </c>
      <c r="EA109">
        <v>4</v>
      </c>
      <c r="EB109">
        <v>0</v>
      </c>
      <c r="EC109">
        <v>3</v>
      </c>
      <c r="ED109">
        <v>2</v>
      </c>
      <c r="EE109">
        <v>0</v>
      </c>
      <c r="EF109">
        <v>1</v>
      </c>
      <c r="EG109">
        <v>0</v>
      </c>
      <c r="EH109">
        <v>11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1</v>
      </c>
      <c r="ET109">
        <v>0</v>
      </c>
      <c r="EU109">
        <v>1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1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</row>
    <row r="110" spans="1:172" ht="14.25">
      <c r="A110">
        <v>105</v>
      </c>
      <c r="B110" t="str">
        <f t="shared" si="13"/>
        <v>101103</v>
      </c>
      <c r="C110" t="str">
        <f t="shared" si="14"/>
        <v>Poddębice</v>
      </c>
      <c r="D110" t="str">
        <f t="shared" si="12"/>
        <v>poddębicki</v>
      </c>
      <c r="E110" t="str">
        <f t="shared" si="11"/>
        <v>łódzkie</v>
      </c>
      <c r="F110">
        <v>17</v>
      </c>
      <c r="G110" t="str">
        <f>"Centrum Turystyki i Rekreacji w Byczynie, Byczyna 45, 99-200 Poddębice"</f>
        <v>Centrum Turystyki i Rekreacji w Byczynie, Byczyna 45, 99-200 Poddębice</v>
      </c>
      <c r="H110">
        <v>550</v>
      </c>
      <c r="I110">
        <v>550</v>
      </c>
      <c r="J110">
        <v>0</v>
      </c>
      <c r="K110">
        <v>389</v>
      </c>
      <c r="L110">
        <v>286</v>
      </c>
      <c r="M110">
        <v>103</v>
      </c>
      <c r="N110">
        <v>103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103</v>
      </c>
      <c r="Z110">
        <v>0</v>
      </c>
      <c r="AA110">
        <v>0</v>
      </c>
      <c r="AB110">
        <v>103</v>
      </c>
      <c r="AC110">
        <v>2</v>
      </c>
      <c r="AD110">
        <v>101</v>
      </c>
      <c r="AE110">
        <v>2</v>
      </c>
      <c r="AF110">
        <v>2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2</v>
      </c>
      <c r="AQ110">
        <v>3</v>
      </c>
      <c r="AR110">
        <v>1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2</v>
      </c>
      <c r="BB110">
        <v>3</v>
      </c>
      <c r="BC110">
        <v>7</v>
      </c>
      <c r="BD110">
        <v>1</v>
      </c>
      <c r="BE110">
        <v>0</v>
      </c>
      <c r="BF110">
        <v>6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7</v>
      </c>
      <c r="BO110">
        <v>60</v>
      </c>
      <c r="BP110">
        <v>22</v>
      </c>
      <c r="BQ110">
        <v>0</v>
      </c>
      <c r="BR110">
        <v>0</v>
      </c>
      <c r="BS110">
        <v>38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60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1</v>
      </c>
      <c r="CN110">
        <v>1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1</v>
      </c>
      <c r="CY110">
        <v>4</v>
      </c>
      <c r="CZ110">
        <v>3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0</v>
      </c>
      <c r="DI110">
        <v>0</v>
      </c>
      <c r="DJ110">
        <v>4</v>
      </c>
      <c r="DK110">
        <v>13</v>
      </c>
      <c r="DL110">
        <v>3</v>
      </c>
      <c r="DM110">
        <v>9</v>
      </c>
      <c r="DN110">
        <v>0</v>
      </c>
      <c r="DO110">
        <v>1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13</v>
      </c>
      <c r="DW110">
        <v>9</v>
      </c>
      <c r="DX110">
        <v>4</v>
      </c>
      <c r="DY110">
        <v>1</v>
      </c>
      <c r="DZ110">
        <v>0</v>
      </c>
      <c r="EA110">
        <v>1</v>
      </c>
      <c r="EB110">
        <v>0</v>
      </c>
      <c r="EC110">
        <v>1</v>
      </c>
      <c r="ED110">
        <v>2</v>
      </c>
      <c r="EE110">
        <v>0</v>
      </c>
      <c r="EF110">
        <v>0</v>
      </c>
      <c r="EG110">
        <v>0</v>
      </c>
      <c r="EH110">
        <v>9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1</v>
      </c>
      <c r="ET110">
        <v>1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1</v>
      </c>
      <c r="FE110">
        <v>1</v>
      </c>
      <c r="FF110">
        <v>0</v>
      </c>
      <c r="FG110">
        <v>1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1</v>
      </c>
    </row>
    <row r="111" spans="1:172" ht="14.25">
      <c r="A111">
        <v>106</v>
      </c>
      <c r="B111" t="str">
        <f t="shared" si="13"/>
        <v>101103</v>
      </c>
      <c r="C111" t="str">
        <f t="shared" si="14"/>
        <v>Poddębice</v>
      </c>
      <c r="D111" t="str">
        <f t="shared" si="12"/>
        <v>poddębicki</v>
      </c>
      <c r="E111" t="str">
        <f t="shared" si="11"/>
        <v>łódzkie</v>
      </c>
      <c r="F111">
        <v>18</v>
      </c>
      <c r="G111" t="str">
        <f>"Poddębickie Centrum Zdrowia Sp. z o.o., ul. Mickiewicza 16, 99-200 Poddębice"</f>
        <v>Poddębickie Centrum Zdrowia Sp. z o.o., ul. Mickiewicza 16, 99-200 Poddębice</v>
      </c>
      <c r="H111">
        <v>171</v>
      </c>
      <c r="I111">
        <v>171</v>
      </c>
      <c r="J111">
        <v>0</v>
      </c>
      <c r="K111">
        <v>67</v>
      </c>
      <c r="L111">
        <v>34</v>
      </c>
      <c r="M111">
        <v>33</v>
      </c>
      <c r="N111">
        <v>33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33</v>
      </c>
      <c r="Z111">
        <v>0</v>
      </c>
      <c r="AA111">
        <v>0</v>
      </c>
      <c r="AB111">
        <v>33</v>
      </c>
      <c r="AC111">
        <v>0</v>
      </c>
      <c r="AD111">
        <v>33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3</v>
      </c>
      <c r="BD111">
        <v>2</v>
      </c>
      <c r="BE111">
        <v>0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3</v>
      </c>
      <c r="BO111">
        <v>12</v>
      </c>
      <c r="BP111">
        <v>5</v>
      </c>
      <c r="BQ111">
        <v>0</v>
      </c>
      <c r="BR111">
        <v>1</v>
      </c>
      <c r="BS111">
        <v>5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1</v>
      </c>
      <c r="BZ111">
        <v>12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1</v>
      </c>
      <c r="CN111">
        <v>0</v>
      </c>
      <c r="CO111">
        <v>0</v>
      </c>
      <c r="CP111">
        <v>0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1</v>
      </c>
      <c r="CY111">
        <v>1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0</v>
      </c>
      <c r="DJ111">
        <v>1</v>
      </c>
      <c r="DK111">
        <v>13</v>
      </c>
      <c r="DL111">
        <v>8</v>
      </c>
      <c r="DM111">
        <v>3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2</v>
      </c>
      <c r="DV111">
        <v>13</v>
      </c>
      <c r="DW111">
        <v>3</v>
      </c>
      <c r="DX111">
        <v>0</v>
      </c>
      <c r="DY111">
        <v>2</v>
      </c>
      <c r="DZ111">
        <v>0</v>
      </c>
      <c r="EA111">
        <v>0</v>
      </c>
      <c r="EB111">
        <v>0</v>
      </c>
      <c r="EC111">
        <v>1</v>
      </c>
      <c r="ED111">
        <v>0</v>
      </c>
      <c r="EE111">
        <v>0</v>
      </c>
      <c r="EF111">
        <v>0</v>
      </c>
      <c r="EG111">
        <v>0</v>
      </c>
      <c r="EH111">
        <v>3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</row>
    <row r="112" spans="1:172" ht="14.25">
      <c r="A112">
        <v>107</v>
      </c>
      <c r="B112" t="str">
        <f t="shared" si="13"/>
        <v>101103</v>
      </c>
      <c r="C112" t="str">
        <f t="shared" si="14"/>
        <v>Poddębice</v>
      </c>
      <c r="D112" t="str">
        <f t="shared" si="12"/>
        <v>poddębicki</v>
      </c>
      <c r="E112" t="str">
        <f t="shared" si="11"/>
        <v>łódzkie</v>
      </c>
      <c r="F112">
        <v>19</v>
      </c>
      <c r="G112" t="s">
        <v>36</v>
      </c>
      <c r="H112">
        <v>57</v>
      </c>
      <c r="I112">
        <v>57</v>
      </c>
      <c r="J112">
        <v>0</v>
      </c>
      <c r="K112">
        <v>39</v>
      </c>
      <c r="L112">
        <v>22</v>
      </c>
      <c r="M112">
        <v>17</v>
      </c>
      <c r="N112">
        <v>17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17</v>
      </c>
      <c r="Z112">
        <v>0</v>
      </c>
      <c r="AA112">
        <v>0</v>
      </c>
      <c r="AB112">
        <v>17</v>
      </c>
      <c r="AC112">
        <v>0</v>
      </c>
      <c r="AD112">
        <v>17</v>
      </c>
      <c r="AE112">
        <v>1</v>
      </c>
      <c r="AF112">
        <v>1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13</v>
      </c>
      <c r="BP112">
        <v>9</v>
      </c>
      <c r="BQ112">
        <v>0</v>
      </c>
      <c r="BR112">
        <v>3</v>
      </c>
      <c r="BS112">
        <v>0</v>
      </c>
      <c r="BT112">
        <v>0</v>
      </c>
      <c r="BU112">
        <v>0</v>
      </c>
      <c r="BV112">
        <v>1</v>
      </c>
      <c r="BW112">
        <v>0</v>
      </c>
      <c r="BX112">
        <v>0</v>
      </c>
      <c r="BY112">
        <v>0</v>
      </c>
      <c r="BZ112">
        <v>13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1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1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1</v>
      </c>
      <c r="DL112">
        <v>0</v>
      </c>
      <c r="DM112">
        <v>1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1</v>
      </c>
      <c r="DW112">
        <v>1</v>
      </c>
      <c r="DX112">
        <v>1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1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</row>
    <row r="113" spans="1:172" ht="14.25">
      <c r="A113">
        <v>108</v>
      </c>
      <c r="B113" t="str">
        <f aca="true" t="shared" si="15" ref="B113:B118">"101104"</f>
        <v>101104</v>
      </c>
      <c r="C113" t="str">
        <f aca="true" t="shared" si="16" ref="C113:C118">"Uniejów"</f>
        <v>Uniejów</v>
      </c>
      <c r="D113" t="str">
        <f t="shared" si="12"/>
        <v>poddębicki</v>
      </c>
      <c r="E113" t="str">
        <f t="shared" si="11"/>
        <v>łódzkie</v>
      </c>
      <c r="F113">
        <v>1</v>
      </c>
      <c r="G113" t="str">
        <f>"Szkoła Podstawowa w Wilamowie, Wilamów 50, 99-210 Uniejów"</f>
        <v>Szkoła Podstawowa w Wilamowie, Wilamów 50, 99-210 Uniejów</v>
      </c>
      <c r="H113">
        <v>1086</v>
      </c>
      <c r="I113">
        <v>1086</v>
      </c>
      <c r="J113">
        <v>0</v>
      </c>
      <c r="K113">
        <v>750</v>
      </c>
      <c r="L113">
        <v>551</v>
      </c>
      <c r="M113">
        <v>199</v>
      </c>
      <c r="N113">
        <v>199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199</v>
      </c>
      <c r="Z113">
        <v>0</v>
      </c>
      <c r="AA113">
        <v>0</v>
      </c>
      <c r="AB113">
        <v>199</v>
      </c>
      <c r="AC113">
        <v>10</v>
      </c>
      <c r="AD113">
        <v>189</v>
      </c>
      <c r="AE113">
        <v>6</v>
      </c>
      <c r="AF113">
        <v>4</v>
      </c>
      <c r="AG113">
        <v>0</v>
      </c>
      <c r="AH113">
        <v>0</v>
      </c>
      <c r="AI113">
        <v>2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6</v>
      </c>
      <c r="AQ113">
        <v>1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5</v>
      </c>
      <c r="BD113">
        <v>2</v>
      </c>
      <c r="BE113">
        <v>3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5</v>
      </c>
      <c r="BO113">
        <v>98</v>
      </c>
      <c r="BP113">
        <v>51</v>
      </c>
      <c r="BQ113">
        <v>0</v>
      </c>
      <c r="BR113">
        <v>1</v>
      </c>
      <c r="BS113">
        <v>43</v>
      </c>
      <c r="BT113">
        <v>0</v>
      </c>
      <c r="BU113">
        <v>0</v>
      </c>
      <c r="BV113">
        <v>1</v>
      </c>
      <c r="BW113">
        <v>0</v>
      </c>
      <c r="BX113">
        <v>1</v>
      </c>
      <c r="BY113">
        <v>1</v>
      </c>
      <c r="BZ113">
        <v>98</v>
      </c>
      <c r="CA113">
        <v>5</v>
      </c>
      <c r="CB113">
        <v>3</v>
      </c>
      <c r="CC113">
        <v>0</v>
      </c>
      <c r="CD113">
        <v>1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1</v>
      </c>
      <c r="CK113">
        <v>0</v>
      </c>
      <c r="CL113">
        <v>5</v>
      </c>
      <c r="CM113">
        <v>3</v>
      </c>
      <c r="CN113">
        <v>2</v>
      </c>
      <c r="CO113">
        <v>0</v>
      </c>
      <c r="CP113">
        <v>0</v>
      </c>
      <c r="CQ113">
        <v>0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3</v>
      </c>
      <c r="CY113">
        <v>3</v>
      </c>
      <c r="CZ113">
        <v>2</v>
      </c>
      <c r="DA113">
        <v>0</v>
      </c>
      <c r="DB113">
        <v>0</v>
      </c>
      <c r="DC113">
        <v>0</v>
      </c>
      <c r="DD113">
        <v>1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3</v>
      </c>
      <c r="DK113">
        <v>16</v>
      </c>
      <c r="DL113">
        <v>8</v>
      </c>
      <c r="DM113">
        <v>7</v>
      </c>
      <c r="DN113">
        <v>1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16</v>
      </c>
      <c r="DW113">
        <v>47</v>
      </c>
      <c r="DX113">
        <v>11</v>
      </c>
      <c r="DY113">
        <v>32</v>
      </c>
      <c r="DZ113">
        <v>1</v>
      </c>
      <c r="EA113">
        <v>1</v>
      </c>
      <c r="EB113">
        <v>0</v>
      </c>
      <c r="EC113">
        <v>0</v>
      </c>
      <c r="ED113">
        <v>1</v>
      </c>
      <c r="EE113">
        <v>1</v>
      </c>
      <c r="EF113">
        <v>0</v>
      </c>
      <c r="EG113">
        <v>0</v>
      </c>
      <c r="EH113">
        <v>47</v>
      </c>
      <c r="EI113">
        <v>1</v>
      </c>
      <c r="EJ113">
        <v>1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1</v>
      </c>
      <c r="ES113">
        <v>2</v>
      </c>
      <c r="ET113">
        <v>2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2</v>
      </c>
      <c r="FE113">
        <v>2</v>
      </c>
      <c r="FF113">
        <v>0</v>
      </c>
      <c r="FG113">
        <v>0</v>
      </c>
      <c r="FH113">
        <v>0</v>
      </c>
      <c r="FI113">
        <v>1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1</v>
      </c>
      <c r="FP113">
        <v>2</v>
      </c>
    </row>
    <row r="114" spans="1:172" ht="14.25">
      <c r="A114">
        <v>109</v>
      </c>
      <c r="B114" t="str">
        <f t="shared" si="15"/>
        <v>101104</v>
      </c>
      <c r="C114" t="str">
        <f t="shared" si="16"/>
        <v>Uniejów</v>
      </c>
      <c r="D114" t="str">
        <f t="shared" si="12"/>
        <v>poddębicki</v>
      </c>
      <c r="E114" t="str">
        <f t="shared" si="11"/>
        <v>łódzkie</v>
      </c>
      <c r="F114">
        <v>2</v>
      </c>
      <c r="G114" t="str">
        <f>"Szkoła Podstawowa w Wieleninie, Wielenin 30a, 99-210 Uniejów"</f>
        <v>Szkoła Podstawowa w Wieleninie, Wielenin 30a, 99-210 Uniejów</v>
      </c>
      <c r="H114">
        <v>844</v>
      </c>
      <c r="I114">
        <v>844</v>
      </c>
      <c r="J114">
        <v>0</v>
      </c>
      <c r="K114">
        <v>590</v>
      </c>
      <c r="L114">
        <v>449</v>
      </c>
      <c r="M114">
        <v>141</v>
      </c>
      <c r="N114">
        <v>141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141</v>
      </c>
      <c r="Z114">
        <v>0</v>
      </c>
      <c r="AA114">
        <v>0</v>
      </c>
      <c r="AB114">
        <v>141</v>
      </c>
      <c r="AC114">
        <v>5</v>
      </c>
      <c r="AD114">
        <v>136</v>
      </c>
      <c r="AE114">
        <v>1</v>
      </c>
      <c r="AF114">
        <v>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5</v>
      </c>
      <c r="BD114">
        <v>2</v>
      </c>
      <c r="BE114">
        <v>2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0</v>
      </c>
      <c r="BN114">
        <v>5</v>
      </c>
      <c r="BO114">
        <v>79</v>
      </c>
      <c r="BP114">
        <v>43</v>
      </c>
      <c r="BQ114">
        <v>2</v>
      </c>
      <c r="BR114">
        <v>1</v>
      </c>
      <c r="BS114">
        <v>33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79</v>
      </c>
      <c r="CA114">
        <v>4</v>
      </c>
      <c r="CB114">
        <v>3</v>
      </c>
      <c r="CC114">
        <v>0</v>
      </c>
      <c r="CD114">
        <v>0</v>
      </c>
      <c r="CE114">
        <v>0</v>
      </c>
      <c r="CF114">
        <v>1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4</v>
      </c>
      <c r="CM114">
        <v>1</v>
      </c>
      <c r="CN114">
        <v>0</v>
      </c>
      <c r="CO114">
        <v>1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1</v>
      </c>
      <c r="CY114">
        <v>7</v>
      </c>
      <c r="CZ114">
        <v>4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1</v>
      </c>
      <c r="DG114">
        <v>2</v>
      </c>
      <c r="DH114">
        <v>0</v>
      </c>
      <c r="DI114">
        <v>0</v>
      </c>
      <c r="DJ114">
        <v>7</v>
      </c>
      <c r="DK114">
        <v>15</v>
      </c>
      <c r="DL114">
        <v>11</v>
      </c>
      <c r="DM114">
        <v>2</v>
      </c>
      <c r="DN114">
        <v>0</v>
      </c>
      <c r="DO114">
        <v>1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1</v>
      </c>
      <c r="DV114">
        <v>15</v>
      </c>
      <c r="DW114">
        <v>23</v>
      </c>
      <c r="DX114">
        <v>4</v>
      </c>
      <c r="DY114">
        <v>6</v>
      </c>
      <c r="DZ114">
        <v>0</v>
      </c>
      <c r="EA114">
        <v>2</v>
      </c>
      <c r="EB114">
        <v>0</v>
      </c>
      <c r="EC114">
        <v>3</v>
      </c>
      <c r="ED114">
        <v>7</v>
      </c>
      <c r="EE114">
        <v>1</v>
      </c>
      <c r="EF114">
        <v>0</v>
      </c>
      <c r="EG114">
        <v>0</v>
      </c>
      <c r="EH114">
        <v>23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1</v>
      </c>
      <c r="ET114">
        <v>1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1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</row>
    <row r="115" spans="1:172" ht="14.25">
      <c r="A115">
        <v>110</v>
      </c>
      <c r="B115" t="str">
        <f t="shared" si="15"/>
        <v>101104</v>
      </c>
      <c r="C115" t="str">
        <f t="shared" si="16"/>
        <v>Uniejów</v>
      </c>
      <c r="D115" t="str">
        <f t="shared" si="12"/>
        <v>poddębicki</v>
      </c>
      <c r="E115" t="str">
        <f t="shared" si="11"/>
        <v>łódzkie</v>
      </c>
      <c r="F115">
        <v>3</v>
      </c>
      <c r="G115" t="str">
        <f>"Szkoła Podstawowa w Spycimierzu, Spycimierz 7, 99-210 Uniejów"</f>
        <v>Szkoła Podstawowa w Spycimierzu, Spycimierz 7, 99-210 Uniejów</v>
      </c>
      <c r="H115">
        <v>659</v>
      </c>
      <c r="I115">
        <v>659</v>
      </c>
      <c r="J115">
        <v>0</v>
      </c>
      <c r="K115">
        <v>460</v>
      </c>
      <c r="L115">
        <v>280</v>
      </c>
      <c r="M115">
        <v>180</v>
      </c>
      <c r="N115">
        <v>180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180</v>
      </c>
      <c r="Z115">
        <v>0</v>
      </c>
      <c r="AA115">
        <v>0</v>
      </c>
      <c r="AB115">
        <v>180</v>
      </c>
      <c r="AC115">
        <v>2</v>
      </c>
      <c r="AD115">
        <v>178</v>
      </c>
      <c r="AE115">
        <v>4</v>
      </c>
      <c r="AF115">
        <v>2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1</v>
      </c>
      <c r="AP115">
        <v>4</v>
      </c>
      <c r="AQ115">
        <v>3</v>
      </c>
      <c r="AR115">
        <v>1</v>
      </c>
      <c r="AS115">
        <v>0</v>
      </c>
      <c r="AT115">
        <v>1</v>
      </c>
      <c r="AU115">
        <v>1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3</v>
      </c>
      <c r="BC115">
        <v>5</v>
      </c>
      <c r="BD115">
        <v>1</v>
      </c>
      <c r="BE115">
        <v>1</v>
      </c>
      <c r="BF115">
        <v>1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1</v>
      </c>
      <c r="BM115">
        <v>1</v>
      </c>
      <c r="BN115">
        <v>5</v>
      </c>
      <c r="BO115">
        <v>108</v>
      </c>
      <c r="BP115">
        <v>38</v>
      </c>
      <c r="BQ115">
        <v>0</v>
      </c>
      <c r="BR115">
        <v>0</v>
      </c>
      <c r="BS115">
        <v>64</v>
      </c>
      <c r="BT115">
        <v>0</v>
      </c>
      <c r="BU115">
        <v>0</v>
      </c>
      <c r="BV115">
        <v>0</v>
      </c>
      <c r="BW115">
        <v>1</v>
      </c>
      <c r="BX115">
        <v>0</v>
      </c>
      <c r="BY115">
        <v>5</v>
      </c>
      <c r="BZ115">
        <v>108</v>
      </c>
      <c r="CA115">
        <v>1</v>
      </c>
      <c r="CB115">
        <v>0</v>
      </c>
      <c r="CC115">
        <v>0</v>
      </c>
      <c r="CD115">
        <v>1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1</v>
      </c>
      <c r="CM115">
        <v>7</v>
      </c>
      <c r="CN115">
        <v>5</v>
      </c>
      <c r="CO115">
        <v>1</v>
      </c>
      <c r="CP115">
        <v>1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7</v>
      </c>
      <c r="CY115">
        <v>5</v>
      </c>
      <c r="CZ115">
        <v>3</v>
      </c>
      <c r="DA115">
        <v>1</v>
      </c>
      <c r="DB115">
        <v>0</v>
      </c>
      <c r="DC115">
        <v>0</v>
      </c>
      <c r="DD115">
        <v>1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5</v>
      </c>
      <c r="DK115">
        <v>23</v>
      </c>
      <c r="DL115">
        <v>21</v>
      </c>
      <c r="DM115">
        <v>2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23</v>
      </c>
      <c r="DW115">
        <v>21</v>
      </c>
      <c r="DX115">
        <v>6</v>
      </c>
      <c r="DY115">
        <v>7</v>
      </c>
      <c r="DZ115">
        <v>0</v>
      </c>
      <c r="EA115">
        <v>1</v>
      </c>
      <c r="EB115">
        <v>0</v>
      </c>
      <c r="EC115">
        <v>6</v>
      </c>
      <c r="ED115">
        <v>0</v>
      </c>
      <c r="EE115">
        <v>1</v>
      </c>
      <c r="EF115">
        <v>0</v>
      </c>
      <c r="EG115">
        <v>0</v>
      </c>
      <c r="EH115">
        <v>21</v>
      </c>
      <c r="EI115">
        <v>1</v>
      </c>
      <c r="EJ115">
        <v>0</v>
      </c>
      <c r="EK115">
        <v>1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1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</row>
    <row r="116" spans="1:172" ht="14.25">
      <c r="A116">
        <v>111</v>
      </c>
      <c r="B116" t="str">
        <f t="shared" si="15"/>
        <v>101104</v>
      </c>
      <c r="C116" t="str">
        <f t="shared" si="16"/>
        <v>Uniejów</v>
      </c>
      <c r="D116" t="str">
        <f aca="true" t="shared" si="17" ref="D116:D134">"poddębicki"</f>
        <v>poddębicki</v>
      </c>
      <c r="E116" t="str">
        <f t="shared" si="11"/>
        <v>łódzkie</v>
      </c>
      <c r="F116">
        <v>4</v>
      </c>
      <c r="G116" t="str">
        <f>"Miejsko-Gminny Ośrodek Kultury w Uniejowie, Targowa 21, 99-210 Uniejów"</f>
        <v>Miejsko-Gminny Ośrodek Kultury w Uniejowie, Targowa 21, 99-210 Uniejów</v>
      </c>
      <c r="H116">
        <v>898</v>
      </c>
      <c r="I116">
        <v>898</v>
      </c>
      <c r="J116">
        <v>0</v>
      </c>
      <c r="K116">
        <v>632</v>
      </c>
      <c r="L116">
        <v>458</v>
      </c>
      <c r="M116">
        <v>174</v>
      </c>
      <c r="N116">
        <v>174</v>
      </c>
      <c r="O116">
        <v>0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174</v>
      </c>
      <c r="Z116">
        <v>0</v>
      </c>
      <c r="AA116">
        <v>0</v>
      </c>
      <c r="AB116">
        <v>174</v>
      </c>
      <c r="AC116">
        <v>8</v>
      </c>
      <c r="AD116">
        <v>166</v>
      </c>
      <c r="AE116">
        <v>9</v>
      </c>
      <c r="AF116">
        <v>4</v>
      </c>
      <c r="AG116">
        <v>0</v>
      </c>
      <c r="AH116">
        <v>5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9</v>
      </c>
      <c r="AQ116">
        <v>1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1</v>
      </c>
      <c r="BC116">
        <v>11</v>
      </c>
      <c r="BD116">
        <v>6</v>
      </c>
      <c r="BE116">
        <v>4</v>
      </c>
      <c r="BF116">
        <v>0</v>
      </c>
      <c r="BG116">
        <v>0</v>
      </c>
      <c r="BH116">
        <v>0</v>
      </c>
      <c r="BI116">
        <v>1</v>
      </c>
      <c r="BJ116">
        <v>0</v>
      </c>
      <c r="BK116">
        <v>0</v>
      </c>
      <c r="BL116">
        <v>0</v>
      </c>
      <c r="BM116">
        <v>0</v>
      </c>
      <c r="BN116">
        <v>11</v>
      </c>
      <c r="BO116">
        <v>82</v>
      </c>
      <c r="BP116">
        <v>41</v>
      </c>
      <c r="BQ116">
        <v>0</v>
      </c>
      <c r="BR116">
        <v>0</v>
      </c>
      <c r="BS116">
        <v>37</v>
      </c>
      <c r="BT116">
        <v>1</v>
      </c>
      <c r="BU116">
        <v>0</v>
      </c>
      <c r="BV116">
        <v>0</v>
      </c>
      <c r="BW116">
        <v>1</v>
      </c>
      <c r="BX116">
        <v>1</v>
      </c>
      <c r="BY116">
        <v>1</v>
      </c>
      <c r="BZ116">
        <v>82</v>
      </c>
      <c r="CA116">
        <v>3</v>
      </c>
      <c r="CB116">
        <v>1</v>
      </c>
      <c r="CC116">
        <v>0</v>
      </c>
      <c r="CD116">
        <v>1</v>
      </c>
      <c r="CE116">
        <v>0</v>
      </c>
      <c r="CF116">
        <v>0</v>
      </c>
      <c r="CG116">
        <v>1</v>
      </c>
      <c r="CH116">
        <v>0</v>
      </c>
      <c r="CI116">
        <v>0</v>
      </c>
      <c r="CJ116">
        <v>0</v>
      </c>
      <c r="CK116">
        <v>0</v>
      </c>
      <c r="CL116">
        <v>3</v>
      </c>
      <c r="CM116">
        <v>2</v>
      </c>
      <c r="CN116">
        <v>1</v>
      </c>
      <c r="CO116">
        <v>0</v>
      </c>
      <c r="CP116">
        <v>0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2</v>
      </c>
      <c r="CY116">
        <v>6</v>
      </c>
      <c r="CZ116">
        <v>5</v>
      </c>
      <c r="DA116">
        <v>0</v>
      </c>
      <c r="DB116">
        <v>0</v>
      </c>
      <c r="DC116">
        <v>0</v>
      </c>
      <c r="DD116">
        <v>1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6</v>
      </c>
      <c r="DK116">
        <v>28</v>
      </c>
      <c r="DL116">
        <v>13</v>
      </c>
      <c r="DM116">
        <v>9</v>
      </c>
      <c r="DN116">
        <v>0</v>
      </c>
      <c r="DO116">
        <v>3</v>
      </c>
      <c r="DP116">
        <v>0</v>
      </c>
      <c r="DQ116">
        <v>0</v>
      </c>
      <c r="DR116">
        <v>0</v>
      </c>
      <c r="DS116">
        <v>0</v>
      </c>
      <c r="DT116">
        <v>1</v>
      </c>
      <c r="DU116">
        <v>2</v>
      </c>
      <c r="DV116">
        <v>28</v>
      </c>
      <c r="DW116">
        <v>22</v>
      </c>
      <c r="DX116">
        <v>9</v>
      </c>
      <c r="DY116">
        <v>3</v>
      </c>
      <c r="DZ116">
        <v>0</v>
      </c>
      <c r="EA116">
        <v>2</v>
      </c>
      <c r="EB116">
        <v>0</v>
      </c>
      <c r="EC116">
        <v>3</v>
      </c>
      <c r="ED116">
        <v>3</v>
      </c>
      <c r="EE116">
        <v>1</v>
      </c>
      <c r="EF116">
        <v>1</v>
      </c>
      <c r="EG116">
        <v>0</v>
      </c>
      <c r="EH116">
        <v>22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2</v>
      </c>
      <c r="FF116">
        <v>1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1</v>
      </c>
      <c r="FP116">
        <v>2</v>
      </c>
    </row>
    <row r="117" spans="1:172" ht="14.25">
      <c r="A117">
        <v>112</v>
      </c>
      <c r="B117" t="str">
        <f t="shared" si="15"/>
        <v>101104</v>
      </c>
      <c r="C117" t="str">
        <f t="shared" si="16"/>
        <v>Uniejów</v>
      </c>
      <c r="D117" t="str">
        <f t="shared" si="17"/>
        <v>poddębicki</v>
      </c>
      <c r="E117" t="str">
        <f t="shared" si="11"/>
        <v>łódzkie</v>
      </c>
      <c r="F117">
        <v>5</v>
      </c>
      <c r="G117" t="str">
        <f>"Zespół Szkół w Uniejowie, Kościelnicka 26-28, 99-210 Uniejów"</f>
        <v>Zespół Szkół w Uniejowie, Kościelnicka 26-28, 99-210 Uniejów</v>
      </c>
      <c r="H117">
        <v>1211</v>
      </c>
      <c r="I117">
        <v>1211</v>
      </c>
      <c r="J117">
        <v>0</v>
      </c>
      <c r="K117">
        <v>859</v>
      </c>
      <c r="L117">
        <v>546</v>
      </c>
      <c r="M117">
        <v>313</v>
      </c>
      <c r="N117">
        <v>313</v>
      </c>
      <c r="O117">
        <v>0</v>
      </c>
      <c r="P117">
        <v>0</v>
      </c>
      <c r="Q117">
        <v>11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313</v>
      </c>
      <c r="Z117">
        <v>0</v>
      </c>
      <c r="AA117">
        <v>0</v>
      </c>
      <c r="AB117">
        <v>313</v>
      </c>
      <c r="AC117">
        <v>10</v>
      </c>
      <c r="AD117">
        <v>303</v>
      </c>
      <c r="AE117">
        <v>6</v>
      </c>
      <c r="AF117">
        <v>4</v>
      </c>
      <c r="AG117">
        <v>1</v>
      </c>
      <c r="AH117">
        <v>0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>
        <v>0</v>
      </c>
      <c r="AP117">
        <v>6</v>
      </c>
      <c r="AQ117">
        <v>1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1</v>
      </c>
      <c r="BC117">
        <v>29</v>
      </c>
      <c r="BD117">
        <v>17</v>
      </c>
      <c r="BE117">
        <v>7</v>
      </c>
      <c r="BF117">
        <v>0</v>
      </c>
      <c r="BG117">
        <v>3</v>
      </c>
      <c r="BH117">
        <v>1</v>
      </c>
      <c r="BI117">
        <v>1</v>
      </c>
      <c r="BJ117">
        <v>0</v>
      </c>
      <c r="BK117">
        <v>0</v>
      </c>
      <c r="BL117">
        <v>0</v>
      </c>
      <c r="BM117">
        <v>0</v>
      </c>
      <c r="BN117">
        <v>29</v>
      </c>
      <c r="BO117">
        <v>147</v>
      </c>
      <c r="BP117">
        <v>78</v>
      </c>
      <c r="BQ117">
        <v>10</v>
      </c>
      <c r="BR117">
        <v>7</v>
      </c>
      <c r="BS117">
        <v>47</v>
      </c>
      <c r="BT117">
        <v>1</v>
      </c>
      <c r="BU117">
        <v>0</v>
      </c>
      <c r="BV117">
        <v>1</v>
      </c>
      <c r="BW117">
        <v>0</v>
      </c>
      <c r="BX117">
        <v>0</v>
      </c>
      <c r="BY117">
        <v>3</v>
      </c>
      <c r="BZ117">
        <v>147</v>
      </c>
      <c r="CA117">
        <v>5</v>
      </c>
      <c r="CB117">
        <v>3</v>
      </c>
      <c r="CC117">
        <v>0</v>
      </c>
      <c r="CD117">
        <v>0</v>
      </c>
      <c r="CE117">
        <v>1</v>
      </c>
      <c r="CF117">
        <v>0</v>
      </c>
      <c r="CG117">
        <v>0</v>
      </c>
      <c r="CH117">
        <v>0</v>
      </c>
      <c r="CI117">
        <v>0</v>
      </c>
      <c r="CJ117">
        <v>1</v>
      </c>
      <c r="CK117">
        <v>0</v>
      </c>
      <c r="CL117">
        <v>5</v>
      </c>
      <c r="CM117">
        <v>7</v>
      </c>
      <c r="CN117">
        <v>4</v>
      </c>
      <c r="CO117">
        <v>0</v>
      </c>
      <c r="CP117">
        <v>0</v>
      </c>
      <c r="CQ117">
        <v>2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7</v>
      </c>
      <c r="CY117">
        <v>14</v>
      </c>
      <c r="CZ117">
        <v>7</v>
      </c>
      <c r="DA117">
        <v>2</v>
      </c>
      <c r="DB117">
        <v>1</v>
      </c>
      <c r="DC117">
        <v>0</v>
      </c>
      <c r="DD117">
        <v>1</v>
      </c>
      <c r="DE117">
        <v>1</v>
      </c>
      <c r="DF117">
        <v>0</v>
      </c>
      <c r="DG117">
        <v>1</v>
      </c>
      <c r="DH117">
        <v>1</v>
      </c>
      <c r="DI117">
        <v>0</v>
      </c>
      <c r="DJ117">
        <v>14</v>
      </c>
      <c r="DK117">
        <v>83</v>
      </c>
      <c r="DL117">
        <v>44</v>
      </c>
      <c r="DM117">
        <v>28</v>
      </c>
      <c r="DN117">
        <v>0</v>
      </c>
      <c r="DO117">
        <v>8</v>
      </c>
      <c r="DP117">
        <v>0</v>
      </c>
      <c r="DQ117">
        <v>1</v>
      </c>
      <c r="DR117">
        <v>0</v>
      </c>
      <c r="DS117">
        <v>1</v>
      </c>
      <c r="DT117">
        <v>0</v>
      </c>
      <c r="DU117">
        <v>1</v>
      </c>
      <c r="DV117">
        <v>83</v>
      </c>
      <c r="DW117">
        <v>8</v>
      </c>
      <c r="DX117">
        <v>3</v>
      </c>
      <c r="DY117">
        <v>1</v>
      </c>
      <c r="DZ117">
        <v>0</v>
      </c>
      <c r="EA117">
        <v>1</v>
      </c>
      <c r="EB117">
        <v>0</v>
      </c>
      <c r="EC117">
        <v>2</v>
      </c>
      <c r="ED117">
        <v>0</v>
      </c>
      <c r="EE117">
        <v>0</v>
      </c>
      <c r="EF117">
        <v>0</v>
      </c>
      <c r="EG117">
        <v>1</v>
      </c>
      <c r="EH117">
        <v>8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1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1</v>
      </c>
      <c r="FC117">
        <v>0</v>
      </c>
      <c r="FD117">
        <v>1</v>
      </c>
      <c r="FE117">
        <v>2</v>
      </c>
      <c r="FF117">
        <v>1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1</v>
      </c>
      <c r="FM117">
        <v>0</v>
      </c>
      <c r="FN117">
        <v>0</v>
      </c>
      <c r="FO117">
        <v>0</v>
      </c>
      <c r="FP117">
        <v>2</v>
      </c>
    </row>
    <row r="118" spans="1:172" ht="14.25">
      <c r="A118">
        <v>113</v>
      </c>
      <c r="B118" t="str">
        <f t="shared" si="15"/>
        <v>101104</v>
      </c>
      <c r="C118" t="str">
        <f t="shared" si="16"/>
        <v>Uniejów</v>
      </c>
      <c r="D118" t="str">
        <f t="shared" si="17"/>
        <v>poddębicki</v>
      </c>
      <c r="E118" t="str">
        <f t="shared" si="11"/>
        <v>łódzkie</v>
      </c>
      <c r="F118">
        <v>6</v>
      </c>
      <c r="G118" t="str">
        <f>"Miejskie Przedszkole w Uniejowie, Wiśniowa 9, 99-210 Uniejów"</f>
        <v>Miejskie Przedszkole w Uniejowie, Wiśniowa 9, 99-210 Uniejów</v>
      </c>
      <c r="H118">
        <v>1337</v>
      </c>
      <c r="I118">
        <v>1337</v>
      </c>
      <c r="J118">
        <v>0</v>
      </c>
      <c r="K118">
        <v>928</v>
      </c>
      <c r="L118">
        <v>562</v>
      </c>
      <c r="M118">
        <v>366</v>
      </c>
      <c r="N118">
        <v>366</v>
      </c>
      <c r="O118">
        <v>0</v>
      </c>
      <c r="P118">
        <v>0</v>
      </c>
      <c r="Q118">
        <v>2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367</v>
      </c>
      <c r="Z118">
        <v>0</v>
      </c>
      <c r="AA118">
        <v>1</v>
      </c>
      <c r="AB118">
        <v>366</v>
      </c>
      <c r="AC118">
        <v>16</v>
      </c>
      <c r="AD118">
        <v>350</v>
      </c>
      <c r="AE118">
        <v>6</v>
      </c>
      <c r="AF118">
        <v>4</v>
      </c>
      <c r="AG118">
        <v>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6</v>
      </c>
      <c r="AQ118">
        <v>3</v>
      </c>
      <c r="AR118">
        <v>0</v>
      </c>
      <c r="AS118">
        <v>0</v>
      </c>
      <c r="AT118">
        <v>0</v>
      </c>
      <c r="AU118">
        <v>0</v>
      </c>
      <c r="AV118">
        <v>3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3</v>
      </c>
      <c r="BC118">
        <v>18</v>
      </c>
      <c r="BD118">
        <v>10</v>
      </c>
      <c r="BE118">
        <v>1</v>
      </c>
      <c r="BF118">
        <v>2</v>
      </c>
      <c r="BG118">
        <v>0</v>
      </c>
      <c r="BH118">
        <v>0</v>
      </c>
      <c r="BI118">
        <v>2</v>
      </c>
      <c r="BJ118">
        <v>1</v>
      </c>
      <c r="BK118">
        <v>0</v>
      </c>
      <c r="BL118">
        <v>1</v>
      </c>
      <c r="BM118">
        <v>1</v>
      </c>
      <c r="BN118">
        <v>18</v>
      </c>
      <c r="BO118">
        <v>153</v>
      </c>
      <c r="BP118">
        <v>72</v>
      </c>
      <c r="BQ118">
        <v>2</v>
      </c>
      <c r="BR118">
        <v>1</v>
      </c>
      <c r="BS118">
        <v>69</v>
      </c>
      <c r="BT118">
        <v>0</v>
      </c>
      <c r="BU118">
        <v>1</v>
      </c>
      <c r="BV118">
        <v>1</v>
      </c>
      <c r="BW118">
        <v>1</v>
      </c>
      <c r="BX118">
        <v>0</v>
      </c>
      <c r="BY118">
        <v>6</v>
      </c>
      <c r="BZ118">
        <v>153</v>
      </c>
      <c r="CA118">
        <v>7</v>
      </c>
      <c r="CB118">
        <v>1</v>
      </c>
      <c r="CC118">
        <v>2</v>
      </c>
      <c r="CD118">
        <v>2</v>
      </c>
      <c r="CE118">
        <v>0</v>
      </c>
      <c r="CF118">
        <v>1</v>
      </c>
      <c r="CG118">
        <v>0</v>
      </c>
      <c r="CH118">
        <v>0</v>
      </c>
      <c r="CI118">
        <v>0</v>
      </c>
      <c r="CJ118">
        <v>0</v>
      </c>
      <c r="CK118">
        <v>1</v>
      </c>
      <c r="CL118">
        <v>7</v>
      </c>
      <c r="CM118">
        <v>5</v>
      </c>
      <c r="CN118">
        <v>3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2</v>
      </c>
      <c r="CX118">
        <v>5</v>
      </c>
      <c r="CY118">
        <v>28</v>
      </c>
      <c r="CZ118">
        <v>16</v>
      </c>
      <c r="DA118">
        <v>5</v>
      </c>
      <c r="DB118">
        <v>0</v>
      </c>
      <c r="DC118">
        <v>0</v>
      </c>
      <c r="DD118">
        <v>0</v>
      </c>
      <c r="DE118">
        <v>0</v>
      </c>
      <c r="DF118">
        <v>1</v>
      </c>
      <c r="DG118">
        <v>4</v>
      </c>
      <c r="DH118">
        <v>1</v>
      </c>
      <c r="DI118">
        <v>1</v>
      </c>
      <c r="DJ118">
        <v>28</v>
      </c>
      <c r="DK118">
        <v>107</v>
      </c>
      <c r="DL118">
        <v>51</v>
      </c>
      <c r="DM118">
        <v>36</v>
      </c>
      <c r="DN118">
        <v>0</v>
      </c>
      <c r="DO118">
        <v>12</v>
      </c>
      <c r="DP118">
        <v>0</v>
      </c>
      <c r="DQ118">
        <v>4</v>
      </c>
      <c r="DR118">
        <v>1</v>
      </c>
      <c r="DS118">
        <v>1</v>
      </c>
      <c r="DT118">
        <v>0</v>
      </c>
      <c r="DU118">
        <v>2</v>
      </c>
      <c r="DV118">
        <v>107</v>
      </c>
      <c r="DW118">
        <v>19</v>
      </c>
      <c r="DX118">
        <v>2</v>
      </c>
      <c r="DY118">
        <v>5</v>
      </c>
      <c r="DZ118">
        <v>0</v>
      </c>
      <c r="EA118">
        <v>0</v>
      </c>
      <c r="EB118">
        <v>7</v>
      </c>
      <c r="EC118">
        <v>3</v>
      </c>
      <c r="ED118">
        <v>0</v>
      </c>
      <c r="EE118">
        <v>2</v>
      </c>
      <c r="EF118">
        <v>0</v>
      </c>
      <c r="EG118">
        <v>0</v>
      </c>
      <c r="EH118">
        <v>19</v>
      </c>
      <c r="EI118">
        <v>1</v>
      </c>
      <c r="EJ118">
        <v>0</v>
      </c>
      <c r="EK118">
        <v>1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1</v>
      </c>
      <c r="ES118">
        <v>1</v>
      </c>
      <c r="ET118">
        <v>1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2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1</v>
      </c>
      <c r="FN118">
        <v>1</v>
      </c>
      <c r="FO118">
        <v>0</v>
      </c>
      <c r="FP118">
        <v>2</v>
      </c>
    </row>
    <row r="119" spans="1:172" ht="14.25">
      <c r="A119">
        <v>114</v>
      </c>
      <c r="B119" t="str">
        <f aca="true" t="shared" si="18" ref="B119:B128">"101105"</f>
        <v>101105</v>
      </c>
      <c r="C119" t="str">
        <f aca="true" t="shared" si="19" ref="C119:C128">"Wartkowice"</f>
        <v>Wartkowice</v>
      </c>
      <c r="D119" t="str">
        <f t="shared" si="17"/>
        <v>poddębicki</v>
      </c>
      <c r="E119" t="str">
        <f t="shared" si="11"/>
        <v>łódzkie</v>
      </c>
      <c r="F119">
        <v>1</v>
      </c>
      <c r="G119" t="str">
        <f>"Zespół Szkół w Wartkowicach, Legionów Polskich 5, 99-220 Wartkowice"</f>
        <v>Zespół Szkół w Wartkowicach, Legionów Polskich 5, 99-220 Wartkowice</v>
      </c>
      <c r="H119">
        <v>1362</v>
      </c>
      <c r="I119">
        <v>1362</v>
      </c>
      <c r="J119">
        <v>0</v>
      </c>
      <c r="K119">
        <v>960</v>
      </c>
      <c r="L119">
        <v>743</v>
      </c>
      <c r="M119">
        <v>217</v>
      </c>
      <c r="N119">
        <v>217</v>
      </c>
      <c r="O119">
        <v>0</v>
      </c>
      <c r="P119">
        <v>1</v>
      </c>
      <c r="Q119">
        <v>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217</v>
      </c>
      <c r="Z119">
        <v>0</v>
      </c>
      <c r="AA119">
        <v>0</v>
      </c>
      <c r="AB119">
        <v>217</v>
      </c>
      <c r="AC119">
        <v>19</v>
      </c>
      <c r="AD119">
        <v>198</v>
      </c>
      <c r="AE119">
        <v>4</v>
      </c>
      <c r="AF119">
        <v>0</v>
      </c>
      <c r="AG119">
        <v>0</v>
      </c>
      <c r="AH119">
        <v>1</v>
      </c>
      <c r="AI119">
        <v>1</v>
      </c>
      <c r="AJ119">
        <v>1</v>
      </c>
      <c r="AK119">
        <v>0</v>
      </c>
      <c r="AL119">
        <v>1</v>
      </c>
      <c r="AM119">
        <v>0</v>
      </c>
      <c r="AN119">
        <v>0</v>
      </c>
      <c r="AO119">
        <v>0</v>
      </c>
      <c r="AP119">
        <v>4</v>
      </c>
      <c r="AQ119">
        <v>3</v>
      </c>
      <c r="AR119">
        <v>0</v>
      </c>
      <c r="AS119">
        <v>3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3</v>
      </c>
      <c r="BC119">
        <v>14</v>
      </c>
      <c r="BD119">
        <v>9</v>
      </c>
      <c r="BE119">
        <v>4</v>
      </c>
      <c r="BF119">
        <v>1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14</v>
      </c>
      <c r="BO119">
        <v>90</v>
      </c>
      <c r="BP119">
        <v>41</v>
      </c>
      <c r="BQ119">
        <v>2</v>
      </c>
      <c r="BR119">
        <v>2</v>
      </c>
      <c r="BS119">
        <v>45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90</v>
      </c>
      <c r="CA119">
        <v>5</v>
      </c>
      <c r="CB119">
        <v>1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1</v>
      </c>
      <c r="CJ119">
        <v>0</v>
      </c>
      <c r="CK119">
        <v>3</v>
      </c>
      <c r="CL119">
        <v>5</v>
      </c>
      <c r="CM119">
        <v>6</v>
      </c>
      <c r="CN119">
        <v>0</v>
      </c>
      <c r="CO119">
        <v>0</v>
      </c>
      <c r="CP119">
        <v>0</v>
      </c>
      <c r="CQ119">
        <v>0</v>
      </c>
      <c r="CR119">
        <v>6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6</v>
      </c>
      <c r="CY119">
        <v>10</v>
      </c>
      <c r="CZ119">
        <v>6</v>
      </c>
      <c r="DA119">
        <v>0</v>
      </c>
      <c r="DB119">
        <v>0</v>
      </c>
      <c r="DC119">
        <v>0</v>
      </c>
      <c r="DD119">
        <v>0</v>
      </c>
      <c r="DE119">
        <v>1</v>
      </c>
      <c r="DF119">
        <v>1</v>
      </c>
      <c r="DG119">
        <v>1</v>
      </c>
      <c r="DH119">
        <v>0</v>
      </c>
      <c r="DI119">
        <v>1</v>
      </c>
      <c r="DJ119">
        <v>10</v>
      </c>
      <c r="DK119">
        <v>35</v>
      </c>
      <c r="DL119">
        <v>16</v>
      </c>
      <c r="DM119">
        <v>15</v>
      </c>
      <c r="DN119">
        <v>0</v>
      </c>
      <c r="DO119">
        <v>3</v>
      </c>
      <c r="DP119">
        <v>1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35</v>
      </c>
      <c r="DW119">
        <v>25</v>
      </c>
      <c r="DX119">
        <v>12</v>
      </c>
      <c r="DY119">
        <v>1</v>
      </c>
      <c r="DZ119">
        <v>0</v>
      </c>
      <c r="EA119">
        <v>8</v>
      </c>
      <c r="EB119">
        <v>0</v>
      </c>
      <c r="EC119">
        <v>1</v>
      </c>
      <c r="ED119">
        <v>2</v>
      </c>
      <c r="EE119">
        <v>1</v>
      </c>
      <c r="EF119">
        <v>0</v>
      </c>
      <c r="EG119">
        <v>0</v>
      </c>
      <c r="EH119">
        <v>25</v>
      </c>
      <c r="EI119">
        <v>1</v>
      </c>
      <c r="EJ119">
        <v>0</v>
      </c>
      <c r="EK119">
        <v>1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1</v>
      </c>
      <c r="ES119">
        <v>4</v>
      </c>
      <c r="ET119">
        <v>2</v>
      </c>
      <c r="EU119">
        <v>2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4</v>
      </c>
      <c r="FE119">
        <v>1</v>
      </c>
      <c r="FF119">
        <v>0</v>
      </c>
      <c r="FG119">
        <v>0</v>
      </c>
      <c r="FH119">
        <v>0</v>
      </c>
      <c r="FI119">
        <v>0</v>
      </c>
      <c r="FJ119">
        <v>1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1</v>
      </c>
    </row>
    <row r="120" spans="1:172" ht="14.25">
      <c r="A120">
        <v>115</v>
      </c>
      <c r="B120" t="str">
        <f t="shared" si="18"/>
        <v>101105</v>
      </c>
      <c r="C120" t="str">
        <f t="shared" si="19"/>
        <v>Wartkowice</v>
      </c>
      <c r="D120" t="str">
        <f t="shared" si="17"/>
        <v>poddębicki</v>
      </c>
      <c r="E120" t="str">
        <f t="shared" si="11"/>
        <v>łódzkie</v>
      </c>
      <c r="F120">
        <v>2</v>
      </c>
      <c r="G120" t="str">
        <f>"Muzeum Oświatowe w Bronowie, Bronów 6, 99-220 Wartkowice"</f>
        <v>Muzeum Oświatowe w Bronowie, Bronów 6, 99-220 Wartkowice</v>
      </c>
      <c r="H120">
        <v>433</v>
      </c>
      <c r="I120">
        <v>433</v>
      </c>
      <c r="J120">
        <v>0</v>
      </c>
      <c r="K120">
        <v>300</v>
      </c>
      <c r="L120">
        <v>266</v>
      </c>
      <c r="M120">
        <v>34</v>
      </c>
      <c r="N120">
        <v>34</v>
      </c>
      <c r="O120">
        <v>0</v>
      </c>
      <c r="P120">
        <v>0</v>
      </c>
      <c r="Q120">
        <v>2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34</v>
      </c>
      <c r="Z120">
        <v>0</v>
      </c>
      <c r="AA120">
        <v>0</v>
      </c>
      <c r="AB120">
        <v>34</v>
      </c>
      <c r="AC120">
        <v>1</v>
      </c>
      <c r="AD120">
        <v>33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14</v>
      </c>
      <c r="BP120">
        <v>2</v>
      </c>
      <c r="BQ120">
        <v>0</v>
      </c>
      <c r="BR120">
        <v>0</v>
      </c>
      <c r="BS120">
        <v>12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14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3</v>
      </c>
      <c r="CZ120">
        <v>2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0</v>
      </c>
      <c r="DJ120">
        <v>3</v>
      </c>
      <c r="DK120">
        <v>5</v>
      </c>
      <c r="DL120">
        <v>4</v>
      </c>
      <c r="DM120">
        <v>0</v>
      </c>
      <c r="DN120">
        <v>0</v>
      </c>
      <c r="DO120">
        <v>1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5</v>
      </c>
      <c r="DW120">
        <v>4</v>
      </c>
      <c r="DX120">
        <v>1</v>
      </c>
      <c r="DY120">
        <v>2</v>
      </c>
      <c r="DZ120">
        <v>0</v>
      </c>
      <c r="EA120">
        <v>0</v>
      </c>
      <c r="EB120">
        <v>1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4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7</v>
      </c>
      <c r="ET120">
        <v>6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1</v>
      </c>
      <c r="FB120">
        <v>0</v>
      </c>
      <c r="FC120">
        <v>0</v>
      </c>
      <c r="FD120">
        <v>7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</row>
    <row r="121" spans="1:172" ht="14.25">
      <c r="A121">
        <v>116</v>
      </c>
      <c r="B121" t="str">
        <f t="shared" si="18"/>
        <v>101105</v>
      </c>
      <c r="C121" t="str">
        <f t="shared" si="19"/>
        <v>Wartkowice</v>
      </c>
      <c r="D121" t="str">
        <f t="shared" si="17"/>
        <v>poddębicki</v>
      </c>
      <c r="E121" t="str">
        <f t="shared" si="11"/>
        <v>łódzkie</v>
      </c>
      <c r="F121">
        <v>3</v>
      </c>
      <c r="G121" t="str">
        <f>"Obiekt komunalny w Białej Górze, Biała Góra 39, 99-220 Wartkowice"</f>
        <v>Obiekt komunalny w Białej Górze, Biała Góra 39, 99-220 Wartkowice</v>
      </c>
      <c r="H121">
        <v>648</v>
      </c>
      <c r="I121">
        <v>648</v>
      </c>
      <c r="J121">
        <v>0</v>
      </c>
      <c r="K121">
        <v>460</v>
      </c>
      <c r="L121">
        <v>356</v>
      </c>
      <c r="M121">
        <v>104</v>
      </c>
      <c r="N121">
        <v>104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104</v>
      </c>
      <c r="Z121">
        <v>0</v>
      </c>
      <c r="AA121">
        <v>0</v>
      </c>
      <c r="AB121">
        <v>104</v>
      </c>
      <c r="AC121">
        <v>2</v>
      </c>
      <c r="AD121">
        <v>102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14</v>
      </c>
      <c r="BD121">
        <v>9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2</v>
      </c>
      <c r="BL121">
        <v>0</v>
      </c>
      <c r="BM121">
        <v>2</v>
      </c>
      <c r="BN121">
        <v>14</v>
      </c>
      <c r="BO121">
        <v>60</v>
      </c>
      <c r="BP121">
        <v>32</v>
      </c>
      <c r="BQ121">
        <v>0</v>
      </c>
      <c r="BR121">
        <v>0</v>
      </c>
      <c r="BS121">
        <v>26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1</v>
      </c>
      <c r="BZ121">
        <v>60</v>
      </c>
      <c r="CA121">
        <v>1</v>
      </c>
      <c r="CB121">
        <v>0</v>
      </c>
      <c r="CC121">
        <v>1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1</v>
      </c>
      <c r="CM121">
        <v>2</v>
      </c>
      <c r="CN121">
        <v>1</v>
      </c>
      <c r="CO121">
        <v>0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2</v>
      </c>
      <c r="CY121">
        <v>4</v>
      </c>
      <c r="CZ121">
        <v>1</v>
      </c>
      <c r="DA121">
        <v>1</v>
      </c>
      <c r="DB121">
        <v>1</v>
      </c>
      <c r="DC121">
        <v>0</v>
      </c>
      <c r="DD121">
        <v>0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4</v>
      </c>
      <c r="DK121">
        <v>10</v>
      </c>
      <c r="DL121">
        <v>3</v>
      </c>
      <c r="DM121">
        <v>5</v>
      </c>
      <c r="DN121">
        <v>0</v>
      </c>
      <c r="DO121">
        <v>0</v>
      </c>
      <c r="DP121">
        <v>0</v>
      </c>
      <c r="DQ121">
        <v>1</v>
      </c>
      <c r="DR121">
        <v>0</v>
      </c>
      <c r="DS121">
        <v>0</v>
      </c>
      <c r="DT121">
        <v>1</v>
      </c>
      <c r="DU121">
        <v>0</v>
      </c>
      <c r="DV121">
        <v>10</v>
      </c>
      <c r="DW121">
        <v>11</v>
      </c>
      <c r="DX121">
        <v>3</v>
      </c>
      <c r="DY121">
        <v>2</v>
      </c>
      <c r="DZ121">
        <v>0</v>
      </c>
      <c r="EA121">
        <v>4</v>
      </c>
      <c r="EB121">
        <v>0</v>
      </c>
      <c r="EC121">
        <v>0</v>
      </c>
      <c r="ED121">
        <v>1</v>
      </c>
      <c r="EE121">
        <v>1</v>
      </c>
      <c r="EF121">
        <v>0</v>
      </c>
      <c r="EG121">
        <v>0</v>
      </c>
      <c r="EH121">
        <v>11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</row>
    <row r="122" spans="1:172" ht="14.25">
      <c r="A122">
        <v>117</v>
      </c>
      <c r="B122" t="str">
        <f t="shared" si="18"/>
        <v>101105</v>
      </c>
      <c r="C122" t="str">
        <f t="shared" si="19"/>
        <v>Wartkowice</v>
      </c>
      <c r="D122" t="str">
        <f t="shared" si="17"/>
        <v>poddębicki</v>
      </c>
      <c r="E122" t="str">
        <f t="shared" si="11"/>
        <v>łódzkie</v>
      </c>
      <c r="F122">
        <v>4</v>
      </c>
      <c r="G122" t="str">
        <f>"Szkoła Podstawowa w Kłódnej, Jadwisin 3, 99-220 Wartkowice"</f>
        <v>Szkoła Podstawowa w Kłódnej, Jadwisin 3, 99-220 Wartkowice</v>
      </c>
      <c r="H122">
        <v>426</v>
      </c>
      <c r="I122">
        <v>426</v>
      </c>
      <c r="J122">
        <v>0</v>
      </c>
      <c r="K122">
        <v>300</v>
      </c>
      <c r="L122">
        <v>258</v>
      </c>
      <c r="M122">
        <v>42</v>
      </c>
      <c r="N122">
        <v>42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42</v>
      </c>
      <c r="Z122">
        <v>0</v>
      </c>
      <c r="AA122">
        <v>0</v>
      </c>
      <c r="AB122">
        <v>42</v>
      </c>
      <c r="AC122">
        <v>3</v>
      </c>
      <c r="AD122">
        <v>39</v>
      </c>
      <c r="AE122">
        <v>1</v>
      </c>
      <c r="AF122">
        <v>0</v>
      </c>
      <c r="AG122">
        <v>1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1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6</v>
      </c>
      <c r="BD122">
        <v>1</v>
      </c>
      <c r="BE122">
        <v>1</v>
      </c>
      <c r="BF122">
        <v>1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1</v>
      </c>
      <c r="BM122">
        <v>1</v>
      </c>
      <c r="BN122">
        <v>6</v>
      </c>
      <c r="BO122">
        <v>19</v>
      </c>
      <c r="BP122">
        <v>9</v>
      </c>
      <c r="BQ122">
        <v>0</v>
      </c>
      <c r="BR122">
        <v>0</v>
      </c>
      <c r="BS122">
        <v>10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19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2</v>
      </c>
      <c r="CN122">
        <v>1</v>
      </c>
      <c r="CO122">
        <v>0</v>
      </c>
      <c r="CP122">
        <v>0</v>
      </c>
      <c r="CQ122">
        <v>0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2</v>
      </c>
      <c r="CY122">
        <v>1</v>
      </c>
      <c r="CZ122">
        <v>1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1</v>
      </c>
      <c r="DK122">
        <v>4</v>
      </c>
      <c r="DL122">
        <v>3</v>
      </c>
      <c r="DM122">
        <v>1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4</v>
      </c>
      <c r="DW122">
        <v>6</v>
      </c>
      <c r="DX122">
        <v>0</v>
      </c>
      <c r="DY122">
        <v>0</v>
      </c>
      <c r="DZ122">
        <v>0</v>
      </c>
      <c r="EA122">
        <v>4</v>
      </c>
      <c r="EB122">
        <v>1</v>
      </c>
      <c r="EC122">
        <v>0</v>
      </c>
      <c r="ED122">
        <v>1</v>
      </c>
      <c r="EE122">
        <v>0</v>
      </c>
      <c r="EF122">
        <v>0</v>
      </c>
      <c r="EG122">
        <v>0</v>
      </c>
      <c r="EH122">
        <v>6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</row>
    <row r="123" spans="1:172" ht="14.25">
      <c r="A123">
        <v>118</v>
      </c>
      <c r="B123" t="str">
        <f t="shared" si="18"/>
        <v>101105</v>
      </c>
      <c r="C123" t="str">
        <f t="shared" si="19"/>
        <v>Wartkowice</v>
      </c>
      <c r="D123" t="str">
        <f t="shared" si="17"/>
        <v>poddębicki</v>
      </c>
      <c r="E123" t="str">
        <f t="shared" si="11"/>
        <v>łódzkie</v>
      </c>
      <c r="F123">
        <v>5</v>
      </c>
      <c r="G123" t="str">
        <f>"Obiekt komunalny w Parądzicach, Parądzice 25, 99-220 Wartkowice"</f>
        <v>Obiekt komunalny w Parądzicach, Parądzice 25, 99-220 Wartkowice</v>
      </c>
      <c r="H123">
        <v>417</v>
      </c>
      <c r="I123">
        <v>417</v>
      </c>
      <c r="J123">
        <v>0</v>
      </c>
      <c r="K123">
        <v>290</v>
      </c>
      <c r="L123">
        <v>244</v>
      </c>
      <c r="M123">
        <v>46</v>
      </c>
      <c r="N123">
        <v>46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46</v>
      </c>
      <c r="Z123">
        <v>0</v>
      </c>
      <c r="AA123">
        <v>0</v>
      </c>
      <c r="AB123">
        <v>46</v>
      </c>
      <c r="AC123">
        <v>1</v>
      </c>
      <c r="AD123">
        <v>45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3</v>
      </c>
      <c r="BD123">
        <v>1</v>
      </c>
      <c r="BE123">
        <v>0</v>
      </c>
      <c r="BF123">
        <v>0</v>
      </c>
      <c r="BG123">
        <v>0</v>
      </c>
      <c r="BH123">
        <v>0</v>
      </c>
      <c r="BI123">
        <v>1</v>
      </c>
      <c r="BJ123">
        <v>0</v>
      </c>
      <c r="BK123">
        <v>0</v>
      </c>
      <c r="BL123">
        <v>1</v>
      </c>
      <c r="BM123">
        <v>0</v>
      </c>
      <c r="BN123">
        <v>3</v>
      </c>
      <c r="BO123">
        <v>26</v>
      </c>
      <c r="BP123">
        <v>17</v>
      </c>
      <c r="BQ123">
        <v>1</v>
      </c>
      <c r="BR123">
        <v>1</v>
      </c>
      <c r="BS123">
        <v>5</v>
      </c>
      <c r="BT123">
        <v>0</v>
      </c>
      <c r="BU123">
        <v>0</v>
      </c>
      <c r="BV123">
        <v>0</v>
      </c>
      <c r="BW123">
        <v>0</v>
      </c>
      <c r="BX123">
        <v>2</v>
      </c>
      <c r="BY123">
        <v>0</v>
      </c>
      <c r="BZ123">
        <v>26</v>
      </c>
      <c r="CA123">
        <v>3</v>
      </c>
      <c r="CB123">
        <v>2</v>
      </c>
      <c r="CC123">
        <v>0</v>
      </c>
      <c r="CD123">
        <v>0</v>
      </c>
      <c r="CE123">
        <v>0</v>
      </c>
      <c r="CF123">
        <v>0</v>
      </c>
      <c r="CG123">
        <v>1</v>
      </c>
      <c r="CH123">
        <v>0</v>
      </c>
      <c r="CI123">
        <v>0</v>
      </c>
      <c r="CJ123">
        <v>0</v>
      </c>
      <c r="CK123">
        <v>0</v>
      </c>
      <c r="CL123">
        <v>3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4</v>
      </c>
      <c r="CZ123">
        <v>3</v>
      </c>
      <c r="DA123">
        <v>1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4</v>
      </c>
      <c r="DK123">
        <v>5</v>
      </c>
      <c r="DL123">
        <v>2</v>
      </c>
      <c r="DM123">
        <v>2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0</v>
      </c>
      <c r="DT123">
        <v>0</v>
      </c>
      <c r="DU123">
        <v>0</v>
      </c>
      <c r="DV123">
        <v>5</v>
      </c>
      <c r="DW123">
        <v>3</v>
      </c>
      <c r="DX123">
        <v>1</v>
      </c>
      <c r="DY123">
        <v>2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3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1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1</v>
      </c>
      <c r="FN123">
        <v>0</v>
      </c>
      <c r="FO123">
        <v>0</v>
      </c>
      <c r="FP123">
        <v>1</v>
      </c>
    </row>
    <row r="124" spans="1:172" ht="14.25">
      <c r="A124">
        <v>119</v>
      </c>
      <c r="B124" t="str">
        <f t="shared" si="18"/>
        <v>101105</v>
      </c>
      <c r="C124" t="str">
        <f t="shared" si="19"/>
        <v>Wartkowice</v>
      </c>
      <c r="D124" t="str">
        <f t="shared" si="17"/>
        <v>poddębicki</v>
      </c>
      <c r="E124" t="str">
        <f t="shared" si="11"/>
        <v>łódzkie</v>
      </c>
      <c r="F124">
        <v>6</v>
      </c>
      <c r="G124" t="str">
        <f>"Obiekt komunalny w Pełczyskach, Pełczyska 4, 99-220 Wartkowice"</f>
        <v>Obiekt komunalny w Pełczyskach, Pełczyska 4, 99-220 Wartkowice</v>
      </c>
      <c r="H124">
        <v>514</v>
      </c>
      <c r="I124">
        <v>514</v>
      </c>
      <c r="J124">
        <v>0</v>
      </c>
      <c r="K124">
        <v>370</v>
      </c>
      <c r="L124">
        <v>304</v>
      </c>
      <c r="M124">
        <v>66</v>
      </c>
      <c r="N124">
        <v>66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66</v>
      </c>
      <c r="Z124">
        <v>0</v>
      </c>
      <c r="AA124">
        <v>0</v>
      </c>
      <c r="AB124">
        <v>66</v>
      </c>
      <c r="AC124">
        <v>2</v>
      </c>
      <c r="AD124">
        <v>64</v>
      </c>
      <c r="AE124">
        <v>1</v>
      </c>
      <c r="AF124">
        <v>1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1</v>
      </c>
      <c r="BC124">
        <v>1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1</v>
      </c>
      <c r="BK124">
        <v>0</v>
      </c>
      <c r="BL124">
        <v>0</v>
      </c>
      <c r="BM124">
        <v>0</v>
      </c>
      <c r="BN124">
        <v>1</v>
      </c>
      <c r="BO124">
        <v>46</v>
      </c>
      <c r="BP124">
        <v>15</v>
      </c>
      <c r="BQ124">
        <v>2</v>
      </c>
      <c r="BR124">
        <v>0</v>
      </c>
      <c r="BS124">
        <v>29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46</v>
      </c>
      <c r="CA124">
        <v>1</v>
      </c>
      <c r="CB124">
        <v>0</v>
      </c>
      <c r="CC124">
        <v>0</v>
      </c>
      <c r="CD124">
        <v>0</v>
      </c>
      <c r="CE124">
        <v>0</v>
      </c>
      <c r="CF124">
        <v>1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1</v>
      </c>
      <c r="CM124">
        <v>1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1</v>
      </c>
      <c r="CY124">
        <v>3</v>
      </c>
      <c r="CZ124">
        <v>3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3</v>
      </c>
      <c r="DK124">
        <v>9</v>
      </c>
      <c r="DL124">
        <v>5</v>
      </c>
      <c r="DM124">
        <v>3</v>
      </c>
      <c r="DN124">
        <v>1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9</v>
      </c>
      <c r="DW124">
        <v>1</v>
      </c>
      <c r="DX124">
        <v>0</v>
      </c>
      <c r="DY124">
        <v>0</v>
      </c>
      <c r="DZ124">
        <v>0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1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</row>
    <row r="125" spans="1:172" ht="14.25">
      <c r="A125">
        <v>120</v>
      </c>
      <c r="B125" t="str">
        <f t="shared" si="18"/>
        <v>101105</v>
      </c>
      <c r="C125" t="str">
        <f t="shared" si="19"/>
        <v>Wartkowice</v>
      </c>
      <c r="D125" t="str">
        <f t="shared" si="17"/>
        <v>poddębicki</v>
      </c>
      <c r="E125" t="str">
        <f t="shared" si="11"/>
        <v>łódzkie</v>
      </c>
      <c r="F125">
        <v>7</v>
      </c>
      <c r="G125" t="str">
        <f>"Obiekt komunalny w Sakowie, Saków 7, 99-220 Wartkowice"</f>
        <v>Obiekt komunalny w Sakowie, Saków 7, 99-220 Wartkowice</v>
      </c>
      <c r="H125">
        <v>347</v>
      </c>
      <c r="I125">
        <v>347</v>
      </c>
      <c r="J125">
        <v>0</v>
      </c>
      <c r="K125">
        <v>240</v>
      </c>
      <c r="L125">
        <v>197</v>
      </c>
      <c r="M125">
        <v>43</v>
      </c>
      <c r="N125">
        <v>43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43</v>
      </c>
      <c r="Z125">
        <v>0</v>
      </c>
      <c r="AA125">
        <v>0</v>
      </c>
      <c r="AB125">
        <v>43</v>
      </c>
      <c r="AC125">
        <v>1</v>
      </c>
      <c r="AD125">
        <v>42</v>
      </c>
      <c r="AE125">
        <v>5</v>
      </c>
      <c r="AF125">
        <v>2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1</v>
      </c>
      <c r="AN125">
        <v>1</v>
      </c>
      <c r="AO125">
        <v>0</v>
      </c>
      <c r="AP125">
        <v>5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2</v>
      </c>
      <c r="BD125">
        <v>1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2</v>
      </c>
      <c r="BO125">
        <v>22</v>
      </c>
      <c r="BP125">
        <v>6</v>
      </c>
      <c r="BQ125">
        <v>0</v>
      </c>
      <c r="BR125">
        <v>0</v>
      </c>
      <c r="BS125">
        <v>16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22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3</v>
      </c>
      <c r="CN125">
        <v>1</v>
      </c>
      <c r="CO125">
        <v>0</v>
      </c>
      <c r="CP125">
        <v>0</v>
      </c>
      <c r="CQ125">
        <v>0</v>
      </c>
      <c r="CR125">
        <v>2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3</v>
      </c>
      <c r="CY125">
        <v>1</v>
      </c>
      <c r="CZ125">
        <v>0</v>
      </c>
      <c r="DA125">
        <v>0</v>
      </c>
      <c r="DB125">
        <v>0</v>
      </c>
      <c r="DC125">
        <v>0</v>
      </c>
      <c r="DD125">
        <v>1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1</v>
      </c>
      <c r="DK125">
        <v>4</v>
      </c>
      <c r="DL125">
        <v>3</v>
      </c>
      <c r="DM125">
        <v>1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4</v>
      </c>
      <c r="DW125">
        <v>5</v>
      </c>
      <c r="DX125">
        <v>3</v>
      </c>
      <c r="DY125">
        <v>0</v>
      </c>
      <c r="DZ125">
        <v>0</v>
      </c>
      <c r="EA125">
        <v>1</v>
      </c>
      <c r="EB125">
        <v>1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5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</row>
    <row r="126" spans="1:172" ht="14.25">
      <c r="A126">
        <v>121</v>
      </c>
      <c r="B126" t="str">
        <f t="shared" si="18"/>
        <v>101105</v>
      </c>
      <c r="C126" t="str">
        <f t="shared" si="19"/>
        <v>Wartkowice</v>
      </c>
      <c r="D126" t="str">
        <f t="shared" si="17"/>
        <v>poddębicki</v>
      </c>
      <c r="E126" t="str">
        <f t="shared" si="11"/>
        <v>łódzkie</v>
      </c>
      <c r="F126">
        <v>8</v>
      </c>
      <c r="G126" t="str">
        <f>"Obiekt komunalny w Turze, Wilkowice 8, 99-220 Wartkowice"</f>
        <v>Obiekt komunalny w Turze, Wilkowice 8, 99-220 Wartkowice</v>
      </c>
      <c r="H126">
        <v>619</v>
      </c>
      <c r="I126">
        <v>619</v>
      </c>
      <c r="J126">
        <v>0</v>
      </c>
      <c r="K126">
        <v>440</v>
      </c>
      <c r="L126">
        <v>348</v>
      </c>
      <c r="M126">
        <v>92</v>
      </c>
      <c r="N126">
        <v>92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92</v>
      </c>
      <c r="Z126">
        <v>0</v>
      </c>
      <c r="AA126">
        <v>0</v>
      </c>
      <c r="AB126">
        <v>92</v>
      </c>
      <c r="AC126">
        <v>9</v>
      </c>
      <c r="AD126">
        <v>83</v>
      </c>
      <c r="AE126">
        <v>6</v>
      </c>
      <c r="AF126">
        <v>3</v>
      </c>
      <c r="AG126">
        <v>0</v>
      </c>
      <c r="AH126">
        <v>1</v>
      </c>
      <c r="AI126">
        <v>2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6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2</v>
      </c>
      <c r="BD126">
        <v>2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2</v>
      </c>
      <c r="BO126">
        <v>28</v>
      </c>
      <c r="BP126">
        <v>10</v>
      </c>
      <c r="BQ126">
        <v>4</v>
      </c>
      <c r="BR126">
        <v>0</v>
      </c>
      <c r="BS126">
        <v>13</v>
      </c>
      <c r="BT126">
        <v>0</v>
      </c>
      <c r="BU126">
        <v>1</v>
      </c>
      <c r="BV126">
        <v>0</v>
      </c>
      <c r="BW126">
        <v>0</v>
      </c>
      <c r="BX126">
        <v>0</v>
      </c>
      <c r="BY126">
        <v>0</v>
      </c>
      <c r="BZ126">
        <v>28</v>
      </c>
      <c r="CA126">
        <v>2</v>
      </c>
      <c r="CB126">
        <v>2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2</v>
      </c>
      <c r="CM126">
        <v>3</v>
      </c>
      <c r="CN126">
        <v>0</v>
      </c>
      <c r="CO126">
        <v>0</v>
      </c>
      <c r="CP126">
        <v>0</v>
      </c>
      <c r="CQ126">
        <v>0</v>
      </c>
      <c r="CR126">
        <v>3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3</v>
      </c>
      <c r="CY126">
        <v>8</v>
      </c>
      <c r="CZ126">
        <v>8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8</v>
      </c>
      <c r="DK126">
        <v>18</v>
      </c>
      <c r="DL126">
        <v>9</v>
      </c>
      <c r="DM126">
        <v>7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2</v>
      </c>
      <c r="DV126">
        <v>18</v>
      </c>
      <c r="DW126">
        <v>15</v>
      </c>
      <c r="DX126">
        <v>5</v>
      </c>
      <c r="DY126">
        <v>1</v>
      </c>
      <c r="DZ126">
        <v>0</v>
      </c>
      <c r="EA126">
        <v>2</v>
      </c>
      <c r="EB126">
        <v>0</v>
      </c>
      <c r="EC126">
        <v>3</v>
      </c>
      <c r="ED126">
        <v>3</v>
      </c>
      <c r="EE126">
        <v>1</v>
      </c>
      <c r="EF126">
        <v>0</v>
      </c>
      <c r="EG126">
        <v>0</v>
      </c>
      <c r="EH126">
        <v>15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1</v>
      </c>
      <c r="ET126">
        <v>1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1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</row>
    <row r="127" spans="1:172" ht="14.25">
      <c r="A127">
        <v>122</v>
      </c>
      <c r="B127" t="str">
        <f t="shared" si="18"/>
        <v>101105</v>
      </c>
      <c r="C127" t="str">
        <f t="shared" si="19"/>
        <v>Wartkowice</v>
      </c>
      <c r="D127" t="str">
        <f t="shared" si="17"/>
        <v>poddębicki</v>
      </c>
      <c r="E127" t="str">
        <f t="shared" si="11"/>
        <v>łódzkie</v>
      </c>
      <c r="F127">
        <v>9</v>
      </c>
      <c r="G127" t="str">
        <f>"Ochotnicza Straż Pożarna, Zelgoszcz 26, 99-220 Wartkowice"</f>
        <v>Ochotnicza Straż Pożarna, Zelgoszcz 26, 99-220 Wartkowice</v>
      </c>
      <c r="H127">
        <v>304</v>
      </c>
      <c r="I127">
        <v>304</v>
      </c>
      <c r="J127">
        <v>0</v>
      </c>
      <c r="K127">
        <v>210</v>
      </c>
      <c r="L127">
        <v>185</v>
      </c>
      <c r="M127">
        <v>25</v>
      </c>
      <c r="N127">
        <v>25</v>
      </c>
      <c r="O127">
        <v>0</v>
      </c>
      <c r="P127">
        <v>0</v>
      </c>
      <c r="Q127">
        <v>2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25</v>
      </c>
      <c r="Z127">
        <v>0</v>
      </c>
      <c r="AA127">
        <v>0</v>
      </c>
      <c r="AB127">
        <v>25</v>
      </c>
      <c r="AC127">
        <v>2</v>
      </c>
      <c r="AD127">
        <v>23</v>
      </c>
      <c r="AE127">
        <v>1</v>
      </c>
      <c r="AF127">
        <v>0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14</v>
      </c>
      <c r="BP127">
        <v>4</v>
      </c>
      <c r="BQ127">
        <v>0</v>
      </c>
      <c r="BR127">
        <v>0</v>
      </c>
      <c r="BS127">
        <v>8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14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3</v>
      </c>
      <c r="CN127">
        <v>0</v>
      </c>
      <c r="CO127">
        <v>0</v>
      </c>
      <c r="CP127">
        <v>0</v>
      </c>
      <c r="CQ127">
        <v>0</v>
      </c>
      <c r="CR127">
        <v>3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3</v>
      </c>
      <c r="CY127">
        <v>1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1</v>
      </c>
      <c r="DI127">
        <v>0</v>
      </c>
      <c r="DJ127">
        <v>1</v>
      </c>
      <c r="DK127">
        <v>3</v>
      </c>
      <c r="DL127">
        <v>1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1</v>
      </c>
      <c r="DU127">
        <v>1</v>
      </c>
      <c r="DV127">
        <v>3</v>
      </c>
      <c r="DW127">
        <v>1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1</v>
      </c>
      <c r="EF127">
        <v>0</v>
      </c>
      <c r="EG127">
        <v>0</v>
      </c>
      <c r="EH127">
        <v>1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</row>
    <row r="128" spans="1:172" ht="14.25">
      <c r="A128">
        <v>123</v>
      </c>
      <c r="B128" t="str">
        <f t="shared" si="18"/>
        <v>101105</v>
      </c>
      <c r="C128" t="str">
        <f t="shared" si="19"/>
        <v>Wartkowice</v>
      </c>
      <c r="D128" t="str">
        <f t="shared" si="17"/>
        <v>poddębicki</v>
      </c>
      <c r="E128" t="str">
        <f t="shared" si="11"/>
        <v>łódzkie</v>
      </c>
      <c r="F128">
        <v>10</v>
      </c>
      <c r="G128" t="str">
        <f>"Dom Pomocy Społecznej, Stary Gostków 41, 99-220 Stary Gostków"</f>
        <v>Dom Pomocy Społecznej, Stary Gostków 41, 99-220 Stary Gostków</v>
      </c>
      <c r="H128">
        <v>67</v>
      </c>
      <c r="I128">
        <v>67</v>
      </c>
      <c r="J128">
        <v>0</v>
      </c>
      <c r="K128">
        <v>67</v>
      </c>
      <c r="L128">
        <v>41</v>
      </c>
      <c r="M128">
        <v>26</v>
      </c>
      <c r="N128">
        <v>26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26</v>
      </c>
      <c r="Z128">
        <v>0</v>
      </c>
      <c r="AA128">
        <v>0</v>
      </c>
      <c r="AB128">
        <v>26</v>
      </c>
      <c r="AC128">
        <v>3</v>
      </c>
      <c r="AD128">
        <v>23</v>
      </c>
      <c r="AE128">
        <v>14</v>
      </c>
      <c r="AF128">
        <v>4</v>
      </c>
      <c r="AG128">
        <v>2</v>
      </c>
      <c r="AH128">
        <v>3</v>
      </c>
      <c r="AI128">
        <v>0</v>
      </c>
      <c r="AJ128">
        <v>2</v>
      </c>
      <c r="AK128">
        <v>0</v>
      </c>
      <c r="AL128">
        <v>0</v>
      </c>
      <c r="AM128">
        <v>0</v>
      </c>
      <c r="AN128">
        <v>2</v>
      </c>
      <c r="AO128">
        <v>1</v>
      </c>
      <c r="AP128">
        <v>14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1</v>
      </c>
      <c r="CA128">
        <v>1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1</v>
      </c>
      <c r="CJ128">
        <v>0</v>
      </c>
      <c r="CK128">
        <v>0</v>
      </c>
      <c r="CL128">
        <v>1</v>
      </c>
      <c r="CM128">
        <v>3</v>
      </c>
      <c r="CN128">
        <v>2</v>
      </c>
      <c r="CO128">
        <v>0</v>
      </c>
      <c r="CP128">
        <v>0</v>
      </c>
      <c r="CQ128">
        <v>0</v>
      </c>
      <c r="CR128">
        <v>0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3</v>
      </c>
      <c r="CY128">
        <v>2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2</v>
      </c>
      <c r="DF128">
        <v>0</v>
      </c>
      <c r="DG128">
        <v>0</v>
      </c>
      <c r="DH128">
        <v>0</v>
      </c>
      <c r="DI128">
        <v>0</v>
      </c>
      <c r="DJ128">
        <v>2</v>
      </c>
      <c r="DK128">
        <v>1</v>
      </c>
      <c r="DL128">
        <v>1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</row>
    <row r="129" spans="1:172" ht="14.25">
      <c r="A129">
        <v>124</v>
      </c>
      <c r="B129" t="str">
        <f aca="true" t="shared" si="20" ref="B129:B134">"101106"</f>
        <v>101106</v>
      </c>
      <c r="C129" t="str">
        <f aca="true" t="shared" si="21" ref="C129:C134">"Zadzim"</f>
        <v>Zadzim</v>
      </c>
      <c r="D129" t="str">
        <f t="shared" si="17"/>
        <v>poddębicki</v>
      </c>
      <c r="E129" t="str">
        <f t="shared" si="11"/>
        <v>łódzkie</v>
      </c>
      <c r="F129">
        <v>1</v>
      </c>
      <c r="G129" t="str">
        <f>"Szkoła Podstawowa, Kazimierzew 38, 99-232 Zadzim"</f>
        <v>Szkoła Podstawowa, Kazimierzew 38, 99-232 Zadzim</v>
      </c>
      <c r="H129">
        <v>1050</v>
      </c>
      <c r="I129">
        <v>1050</v>
      </c>
      <c r="J129">
        <v>0</v>
      </c>
      <c r="K129">
        <v>740</v>
      </c>
      <c r="L129">
        <v>439</v>
      </c>
      <c r="M129">
        <v>301</v>
      </c>
      <c r="N129">
        <v>301</v>
      </c>
      <c r="O129">
        <v>0</v>
      </c>
      <c r="P129">
        <v>1</v>
      </c>
      <c r="Q129">
        <v>4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301</v>
      </c>
      <c r="Z129">
        <v>0</v>
      </c>
      <c r="AA129">
        <v>0</v>
      </c>
      <c r="AB129">
        <v>301</v>
      </c>
      <c r="AC129">
        <v>17</v>
      </c>
      <c r="AD129">
        <v>284</v>
      </c>
      <c r="AE129">
        <v>2</v>
      </c>
      <c r="AF129">
        <v>1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2</v>
      </c>
      <c r="AQ129">
        <v>4</v>
      </c>
      <c r="AR129">
        <v>2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1</v>
      </c>
      <c r="AZ129">
        <v>1</v>
      </c>
      <c r="BA129">
        <v>0</v>
      </c>
      <c r="BB129">
        <v>4</v>
      </c>
      <c r="BC129">
        <v>9</v>
      </c>
      <c r="BD129">
        <v>4</v>
      </c>
      <c r="BE129">
        <v>2</v>
      </c>
      <c r="BF129">
        <v>1</v>
      </c>
      <c r="BG129">
        <v>1</v>
      </c>
      <c r="BH129">
        <v>0</v>
      </c>
      <c r="BI129">
        <v>0</v>
      </c>
      <c r="BJ129">
        <v>1</v>
      </c>
      <c r="BK129">
        <v>0</v>
      </c>
      <c r="BL129">
        <v>0</v>
      </c>
      <c r="BM129">
        <v>0</v>
      </c>
      <c r="BN129">
        <v>9</v>
      </c>
      <c r="BO129">
        <v>151</v>
      </c>
      <c r="BP129">
        <v>32</v>
      </c>
      <c r="BQ129">
        <v>0</v>
      </c>
      <c r="BR129">
        <v>2</v>
      </c>
      <c r="BS129">
        <v>115</v>
      </c>
      <c r="BT129">
        <v>0</v>
      </c>
      <c r="BU129">
        <v>0</v>
      </c>
      <c r="BV129">
        <v>0</v>
      </c>
      <c r="BW129">
        <v>0</v>
      </c>
      <c r="BX129">
        <v>2</v>
      </c>
      <c r="BY129">
        <v>0</v>
      </c>
      <c r="BZ129">
        <v>151</v>
      </c>
      <c r="CA129">
        <v>5</v>
      </c>
      <c r="CB129">
        <v>1</v>
      </c>
      <c r="CC129">
        <v>0</v>
      </c>
      <c r="CD129">
        <v>1</v>
      </c>
      <c r="CE129">
        <v>0</v>
      </c>
      <c r="CF129">
        <v>0</v>
      </c>
      <c r="CG129">
        <v>0</v>
      </c>
      <c r="CH129">
        <v>0</v>
      </c>
      <c r="CI129">
        <v>1</v>
      </c>
      <c r="CJ129">
        <v>0</v>
      </c>
      <c r="CK129">
        <v>2</v>
      </c>
      <c r="CL129">
        <v>5</v>
      </c>
      <c r="CM129">
        <v>10</v>
      </c>
      <c r="CN129">
        <v>4</v>
      </c>
      <c r="CO129">
        <v>0</v>
      </c>
      <c r="CP129">
        <v>0</v>
      </c>
      <c r="CQ129">
        <v>1</v>
      </c>
      <c r="CR129">
        <v>3</v>
      </c>
      <c r="CS129">
        <v>0</v>
      </c>
      <c r="CT129">
        <v>1</v>
      </c>
      <c r="CU129">
        <v>0</v>
      </c>
      <c r="CV129">
        <v>0</v>
      </c>
      <c r="CW129">
        <v>1</v>
      </c>
      <c r="CX129">
        <v>10</v>
      </c>
      <c r="CY129">
        <v>16</v>
      </c>
      <c r="CZ129">
        <v>8</v>
      </c>
      <c r="DA129">
        <v>2</v>
      </c>
      <c r="DB129">
        <v>0</v>
      </c>
      <c r="DC129">
        <v>1</v>
      </c>
      <c r="DD129">
        <v>0</v>
      </c>
      <c r="DE129">
        <v>0</v>
      </c>
      <c r="DF129">
        <v>1</v>
      </c>
      <c r="DG129">
        <v>3</v>
      </c>
      <c r="DH129">
        <v>1</v>
      </c>
      <c r="DI129">
        <v>0</v>
      </c>
      <c r="DJ129">
        <v>16</v>
      </c>
      <c r="DK129">
        <v>27</v>
      </c>
      <c r="DL129">
        <v>19</v>
      </c>
      <c r="DM129">
        <v>6</v>
      </c>
      <c r="DN129">
        <v>1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1</v>
      </c>
      <c r="DV129">
        <v>27</v>
      </c>
      <c r="DW129">
        <v>58</v>
      </c>
      <c r="DX129">
        <v>22</v>
      </c>
      <c r="DY129">
        <v>8</v>
      </c>
      <c r="DZ129">
        <v>0</v>
      </c>
      <c r="EA129">
        <v>25</v>
      </c>
      <c r="EB129">
        <v>0</v>
      </c>
      <c r="EC129">
        <v>0</v>
      </c>
      <c r="ED129">
        <v>1</v>
      </c>
      <c r="EE129">
        <v>0</v>
      </c>
      <c r="EF129">
        <v>1</v>
      </c>
      <c r="EG129">
        <v>1</v>
      </c>
      <c r="EH129">
        <v>58</v>
      </c>
      <c r="EI129">
        <v>1</v>
      </c>
      <c r="EJ129">
        <v>0</v>
      </c>
      <c r="EK129">
        <v>1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1</v>
      </c>
      <c r="ES129">
        <v>1</v>
      </c>
      <c r="ET129">
        <v>0</v>
      </c>
      <c r="EU129">
        <v>0</v>
      </c>
      <c r="EV129">
        <v>1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1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</row>
    <row r="130" spans="1:172" ht="14.25">
      <c r="A130">
        <v>125</v>
      </c>
      <c r="B130" t="str">
        <f t="shared" si="20"/>
        <v>101106</v>
      </c>
      <c r="C130" t="str">
        <f t="shared" si="21"/>
        <v>Zadzim</v>
      </c>
      <c r="D130" t="str">
        <f t="shared" si="17"/>
        <v>poddębicki</v>
      </c>
      <c r="E130" t="str">
        <f t="shared" si="11"/>
        <v>łódzkie</v>
      </c>
      <c r="F130">
        <v>2</v>
      </c>
      <c r="G130" t="str">
        <f>"Sala OSP w Ralewicach, Ralewice 5a, 99-232 Zadzim"</f>
        <v>Sala OSP w Ralewicach, Ralewice 5a, 99-232 Zadzim</v>
      </c>
      <c r="H130">
        <v>598</v>
      </c>
      <c r="I130">
        <v>598</v>
      </c>
      <c r="J130">
        <v>0</v>
      </c>
      <c r="K130">
        <v>420</v>
      </c>
      <c r="L130">
        <v>295</v>
      </c>
      <c r="M130">
        <v>125</v>
      </c>
      <c r="N130">
        <v>125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125</v>
      </c>
      <c r="Z130">
        <v>0</v>
      </c>
      <c r="AA130">
        <v>0</v>
      </c>
      <c r="AB130">
        <v>125</v>
      </c>
      <c r="AC130">
        <v>2</v>
      </c>
      <c r="AD130">
        <v>123</v>
      </c>
      <c r="AE130">
        <v>2</v>
      </c>
      <c r="AF130">
        <v>1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2</v>
      </c>
      <c r="AQ130">
        <v>2</v>
      </c>
      <c r="AR130">
        <v>1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2</v>
      </c>
      <c r="BC130">
        <v>2</v>
      </c>
      <c r="BD130">
        <v>0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1</v>
      </c>
      <c r="BL130">
        <v>0</v>
      </c>
      <c r="BM130">
        <v>0</v>
      </c>
      <c r="BN130">
        <v>2</v>
      </c>
      <c r="BO130">
        <v>67</v>
      </c>
      <c r="BP130">
        <v>13</v>
      </c>
      <c r="BQ130">
        <v>0</v>
      </c>
      <c r="BR130">
        <v>0</v>
      </c>
      <c r="BS130">
        <v>54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67</v>
      </c>
      <c r="CA130">
        <v>2</v>
      </c>
      <c r="CB130">
        <v>0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1</v>
      </c>
      <c r="CJ130">
        <v>0</v>
      </c>
      <c r="CK130">
        <v>0</v>
      </c>
      <c r="CL130">
        <v>2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1</v>
      </c>
      <c r="CY130">
        <v>1</v>
      </c>
      <c r="CZ130">
        <v>1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1</v>
      </c>
      <c r="DK130">
        <v>15</v>
      </c>
      <c r="DL130">
        <v>13</v>
      </c>
      <c r="DM130">
        <v>1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1</v>
      </c>
      <c r="DT130">
        <v>0</v>
      </c>
      <c r="DU130">
        <v>0</v>
      </c>
      <c r="DV130">
        <v>15</v>
      </c>
      <c r="DW130">
        <v>31</v>
      </c>
      <c r="DX130">
        <v>3</v>
      </c>
      <c r="DY130">
        <v>8</v>
      </c>
      <c r="DZ130">
        <v>0</v>
      </c>
      <c r="EA130">
        <v>16</v>
      </c>
      <c r="EB130">
        <v>1</v>
      </c>
      <c r="EC130">
        <v>0</v>
      </c>
      <c r="ED130">
        <v>1</v>
      </c>
      <c r="EE130">
        <v>1</v>
      </c>
      <c r="EF130">
        <v>0</v>
      </c>
      <c r="EG130">
        <v>1</v>
      </c>
      <c r="EH130">
        <v>31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</row>
    <row r="131" spans="1:172" ht="14.25">
      <c r="A131">
        <v>126</v>
      </c>
      <c r="B131" t="str">
        <f t="shared" si="20"/>
        <v>101106</v>
      </c>
      <c r="C131" t="str">
        <f t="shared" si="21"/>
        <v>Zadzim</v>
      </c>
      <c r="D131" t="str">
        <f t="shared" si="17"/>
        <v>poddębicki</v>
      </c>
      <c r="E131" t="str">
        <f t="shared" si="11"/>
        <v>łódzkie</v>
      </c>
      <c r="F131">
        <v>3</v>
      </c>
      <c r="G131" t="str">
        <f>"Szkoła Podstawowa w Zygrach, Zygry 71, 99-232 Zadzim"</f>
        <v>Szkoła Podstawowa w Zygrach, Zygry 71, 99-232 Zadzim</v>
      </c>
      <c r="H131">
        <v>724</v>
      </c>
      <c r="I131">
        <v>724</v>
      </c>
      <c r="J131">
        <v>0</v>
      </c>
      <c r="K131">
        <v>510</v>
      </c>
      <c r="L131">
        <v>350</v>
      </c>
      <c r="M131">
        <v>160</v>
      </c>
      <c r="N131">
        <v>160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160</v>
      </c>
      <c r="Z131">
        <v>0</v>
      </c>
      <c r="AA131">
        <v>0</v>
      </c>
      <c r="AB131">
        <v>160</v>
      </c>
      <c r="AC131">
        <v>7</v>
      </c>
      <c r="AD131">
        <v>153</v>
      </c>
      <c r="AE131">
        <v>2</v>
      </c>
      <c r="AF131">
        <v>1</v>
      </c>
      <c r="AG131">
        <v>0</v>
      </c>
      <c r="AH131">
        <v>0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2</v>
      </c>
      <c r="AQ131">
        <v>2</v>
      </c>
      <c r="AR131">
        <v>2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2</v>
      </c>
      <c r="BC131">
        <v>14</v>
      </c>
      <c r="BD131">
        <v>8</v>
      </c>
      <c r="BE131">
        <v>3</v>
      </c>
      <c r="BF131">
        <v>1</v>
      </c>
      <c r="BG131">
        <v>1</v>
      </c>
      <c r="BH131">
        <v>0</v>
      </c>
      <c r="BI131">
        <v>1</v>
      </c>
      <c r="BJ131">
        <v>0</v>
      </c>
      <c r="BK131">
        <v>0</v>
      </c>
      <c r="BL131">
        <v>0</v>
      </c>
      <c r="BM131">
        <v>0</v>
      </c>
      <c r="BN131">
        <v>14</v>
      </c>
      <c r="BO131">
        <v>73</v>
      </c>
      <c r="BP131">
        <v>24</v>
      </c>
      <c r="BQ131">
        <v>4</v>
      </c>
      <c r="BR131">
        <v>0</v>
      </c>
      <c r="BS131">
        <v>44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73</v>
      </c>
      <c r="CA131">
        <v>1</v>
      </c>
      <c r="CB131">
        <v>0</v>
      </c>
      <c r="CC131">
        <v>0</v>
      </c>
      <c r="CD131">
        <v>0</v>
      </c>
      <c r="CE131">
        <v>1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1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2</v>
      </c>
      <c r="CZ131">
        <v>2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2</v>
      </c>
      <c r="DK131">
        <v>19</v>
      </c>
      <c r="DL131">
        <v>15</v>
      </c>
      <c r="DM131">
        <v>4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19</v>
      </c>
      <c r="DW131">
        <v>34</v>
      </c>
      <c r="DX131">
        <v>15</v>
      </c>
      <c r="DY131">
        <v>3</v>
      </c>
      <c r="DZ131">
        <v>0</v>
      </c>
      <c r="EA131">
        <v>8</v>
      </c>
      <c r="EB131">
        <v>0</v>
      </c>
      <c r="EC131">
        <v>2</v>
      </c>
      <c r="ED131">
        <v>5</v>
      </c>
      <c r="EE131">
        <v>0</v>
      </c>
      <c r="EF131">
        <v>0</v>
      </c>
      <c r="EG131">
        <v>1</v>
      </c>
      <c r="EH131">
        <v>34</v>
      </c>
      <c r="EI131">
        <v>1</v>
      </c>
      <c r="EJ131">
        <v>0</v>
      </c>
      <c r="EK131">
        <v>1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1</v>
      </c>
      <c r="ES131">
        <v>3</v>
      </c>
      <c r="ET131">
        <v>2</v>
      </c>
      <c r="EU131">
        <v>0</v>
      </c>
      <c r="EV131">
        <v>0</v>
      </c>
      <c r="EW131">
        <v>1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3</v>
      </c>
      <c r="FE131">
        <v>1</v>
      </c>
      <c r="FF131">
        <v>0</v>
      </c>
      <c r="FG131">
        <v>0</v>
      </c>
      <c r="FH131">
        <v>0</v>
      </c>
      <c r="FI131">
        <v>1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1</v>
      </c>
    </row>
    <row r="132" spans="1:172" ht="14.25">
      <c r="A132">
        <v>127</v>
      </c>
      <c r="B132" t="str">
        <f t="shared" si="20"/>
        <v>101106</v>
      </c>
      <c r="C132" t="str">
        <f t="shared" si="21"/>
        <v>Zadzim</v>
      </c>
      <c r="D132" t="str">
        <f t="shared" si="17"/>
        <v>poddębicki</v>
      </c>
      <c r="E132" t="str">
        <f t="shared" si="11"/>
        <v>łódzkie</v>
      </c>
      <c r="F132">
        <v>4</v>
      </c>
      <c r="G132" t="str">
        <f>"budynek szkoły w Małyniu, Kłoniszew 57, Małyń, 99-232 Zadzim"</f>
        <v>budynek szkoły w Małyniu, Kłoniszew 57, Małyń, 99-232 Zadzim</v>
      </c>
      <c r="H132">
        <v>673</v>
      </c>
      <c r="I132">
        <v>673</v>
      </c>
      <c r="J132">
        <v>0</v>
      </c>
      <c r="K132">
        <v>470</v>
      </c>
      <c r="L132">
        <v>341</v>
      </c>
      <c r="M132">
        <v>129</v>
      </c>
      <c r="N132">
        <v>129</v>
      </c>
      <c r="O132">
        <v>0</v>
      </c>
      <c r="P132">
        <v>0</v>
      </c>
      <c r="Q132">
        <v>3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129</v>
      </c>
      <c r="Z132">
        <v>0</v>
      </c>
      <c r="AA132">
        <v>0</v>
      </c>
      <c r="AB132">
        <v>129</v>
      </c>
      <c r="AC132">
        <v>2</v>
      </c>
      <c r="AD132">
        <v>127</v>
      </c>
      <c r="AE132">
        <v>2</v>
      </c>
      <c r="AF132">
        <v>1</v>
      </c>
      <c r="AG132">
        <v>0</v>
      </c>
      <c r="AH132">
        <v>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2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10</v>
      </c>
      <c r="BD132">
        <v>9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1</v>
      </c>
      <c r="BM132">
        <v>0</v>
      </c>
      <c r="BN132">
        <v>10</v>
      </c>
      <c r="BO132">
        <v>64</v>
      </c>
      <c r="BP132">
        <v>12</v>
      </c>
      <c r="BQ132">
        <v>0</v>
      </c>
      <c r="BR132">
        <v>2</v>
      </c>
      <c r="BS132">
        <v>49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1</v>
      </c>
      <c r="BZ132">
        <v>64</v>
      </c>
      <c r="CA132">
        <v>1</v>
      </c>
      <c r="CB132">
        <v>0</v>
      </c>
      <c r="CC132">
        <v>1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1</v>
      </c>
      <c r="CM132">
        <v>3</v>
      </c>
      <c r="CN132">
        <v>0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3</v>
      </c>
      <c r="CY132">
        <v>1</v>
      </c>
      <c r="CZ132">
        <v>1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1</v>
      </c>
      <c r="DK132">
        <v>7</v>
      </c>
      <c r="DL132">
        <v>4</v>
      </c>
      <c r="DM132">
        <v>1</v>
      </c>
      <c r="DN132">
        <v>0</v>
      </c>
      <c r="DO132">
        <v>1</v>
      </c>
      <c r="DP132">
        <v>0</v>
      </c>
      <c r="DQ132">
        <v>0</v>
      </c>
      <c r="DR132">
        <v>0</v>
      </c>
      <c r="DS132">
        <v>0</v>
      </c>
      <c r="DT132">
        <v>1</v>
      </c>
      <c r="DU132">
        <v>0</v>
      </c>
      <c r="DV132">
        <v>7</v>
      </c>
      <c r="DW132">
        <v>37</v>
      </c>
      <c r="DX132">
        <v>11</v>
      </c>
      <c r="DY132">
        <v>4</v>
      </c>
      <c r="DZ132">
        <v>0</v>
      </c>
      <c r="EA132">
        <v>16</v>
      </c>
      <c r="EB132">
        <v>0</v>
      </c>
      <c r="EC132">
        <v>6</v>
      </c>
      <c r="ED132">
        <v>0</v>
      </c>
      <c r="EE132">
        <v>0</v>
      </c>
      <c r="EF132">
        <v>0</v>
      </c>
      <c r="EG132">
        <v>0</v>
      </c>
      <c r="EH132">
        <v>37</v>
      </c>
      <c r="EI132">
        <v>1</v>
      </c>
      <c r="EJ132">
        <v>0</v>
      </c>
      <c r="EK132">
        <v>1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1</v>
      </c>
      <c r="ES132">
        <v>1</v>
      </c>
      <c r="ET132">
        <v>1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1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</row>
    <row r="133" spans="1:172" ht="14.25">
      <c r="A133">
        <v>128</v>
      </c>
      <c r="B133" t="str">
        <f t="shared" si="20"/>
        <v>101106</v>
      </c>
      <c r="C133" t="str">
        <f t="shared" si="21"/>
        <v>Zadzim</v>
      </c>
      <c r="D133" t="str">
        <f t="shared" si="17"/>
        <v>poddębicki</v>
      </c>
      <c r="E133" t="str">
        <f t="shared" si="11"/>
        <v>łódzkie</v>
      </c>
      <c r="F133">
        <v>5</v>
      </c>
      <c r="G133" t="str">
        <f>"Sala OSP w Wierzchach, Wierzchy 56, 99-232 Zadzim"</f>
        <v>Sala OSP w Wierzchach, Wierzchy 56, 99-232 Zadzim</v>
      </c>
      <c r="H133">
        <v>745</v>
      </c>
      <c r="I133">
        <v>745</v>
      </c>
      <c r="J133">
        <v>0</v>
      </c>
      <c r="K133">
        <v>530</v>
      </c>
      <c r="L133">
        <v>379</v>
      </c>
      <c r="M133">
        <v>151</v>
      </c>
      <c r="N133">
        <v>151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151</v>
      </c>
      <c r="Z133">
        <v>0</v>
      </c>
      <c r="AA133">
        <v>0</v>
      </c>
      <c r="AB133">
        <v>151</v>
      </c>
      <c r="AC133">
        <v>13</v>
      </c>
      <c r="AD133">
        <v>138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4</v>
      </c>
      <c r="AR133">
        <v>2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2</v>
      </c>
      <c r="AZ133">
        <v>0</v>
      </c>
      <c r="BA133">
        <v>0</v>
      </c>
      <c r="BB133">
        <v>4</v>
      </c>
      <c r="BC133">
        <v>5</v>
      </c>
      <c r="BD133">
        <v>4</v>
      </c>
      <c r="BE133">
        <v>0</v>
      </c>
      <c r="BF133">
        <v>0</v>
      </c>
      <c r="BG133">
        <v>1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5</v>
      </c>
      <c r="BO133">
        <v>80</v>
      </c>
      <c r="BP133">
        <v>11</v>
      </c>
      <c r="BQ133">
        <v>0</v>
      </c>
      <c r="BR133">
        <v>0</v>
      </c>
      <c r="BS133">
        <v>68</v>
      </c>
      <c r="BT133">
        <v>1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80</v>
      </c>
      <c r="CA133">
        <v>1</v>
      </c>
      <c r="CB133">
        <v>0</v>
      </c>
      <c r="CC133">
        <v>0</v>
      </c>
      <c r="CD133">
        <v>1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1</v>
      </c>
      <c r="CM133">
        <v>1</v>
      </c>
      <c r="CN133">
        <v>0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1</v>
      </c>
      <c r="CY133">
        <v>2</v>
      </c>
      <c r="CZ133">
        <v>0</v>
      </c>
      <c r="DA133">
        <v>1</v>
      </c>
      <c r="DB133">
        <v>0</v>
      </c>
      <c r="DC133">
        <v>1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2</v>
      </c>
      <c r="DK133">
        <v>12</v>
      </c>
      <c r="DL133">
        <v>9</v>
      </c>
      <c r="DM133">
        <v>2</v>
      </c>
      <c r="DN133">
        <v>0</v>
      </c>
      <c r="DO133">
        <v>0</v>
      </c>
      <c r="DP133">
        <v>0</v>
      </c>
      <c r="DQ133">
        <v>0</v>
      </c>
      <c r="DR133">
        <v>1</v>
      </c>
      <c r="DS133">
        <v>0</v>
      </c>
      <c r="DT133">
        <v>0</v>
      </c>
      <c r="DU133">
        <v>0</v>
      </c>
      <c r="DV133">
        <v>12</v>
      </c>
      <c r="DW133">
        <v>31</v>
      </c>
      <c r="DX133">
        <v>9</v>
      </c>
      <c r="DY133">
        <v>7</v>
      </c>
      <c r="DZ133">
        <v>0</v>
      </c>
      <c r="EA133">
        <v>11</v>
      </c>
      <c r="EB133">
        <v>0</v>
      </c>
      <c r="EC133">
        <v>1</v>
      </c>
      <c r="ED133">
        <v>0</v>
      </c>
      <c r="EE133">
        <v>1</v>
      </c>
      <c r="EF133">
        <v>2</v>
      </c>
      <c r="EG133">
        <v>0</v>
      </c>
      <c r="EH133">
        <v>31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1</v>
      </c>
      <c r="ET133">
        <v>1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1</v>
      </c>
      <c r="FE133">
        <v>1</v>
      </c>
      <c r="FF133">
        <v>0</v>
      </c>
      <c r="FG133">
        <v>0</v>
      </c>
      <c r="FH133">
        <v>0</v>
      </c>
      <c r="FI133">
        <v>1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1</v>
      </c>
    </row>
    <row r="134" spans="1:172" ht="14.25">
      <c r="A134">
        <v>129</v>
      </c>
      <c r="B134" t="str">
        <f t="shared" si="20"/>
        <v>101106</v>
      </c>
      <c r="C134" t="str">
        <f t="shared" si="21"/>
        <v>Zadzim</v>
      </c>
      <c r="D134" t="str">
        <f t="shared" si="17"/>
        <v>poddębicki</v>
      </c>
      <c r="E134" t="str">
        <f aca="true" t="shared" si="22" ref="E134:E197">"łódzkie"</f>
        <v>łódzkie</v>
      </c>
      <c r="F134">
        <v>6</v>
      </c>
      <c r="G134" t="str">
        <f>"Sala OSP w Charchowie Pańskim, Charchów Pański 20, 99-232 Zadzim"</f>
        <v>Sala OSP w Charchowie Pańskim, Charchów Pański 20, 99-232 Zadzim</v>
      </c>
      <c r="H134">
        <v>540</v>
      </c>
      <c r="I134">
        <v>540</v>
      </c>
      <c r="J134">
        <v>0</v>
      </c>
      <c r="K134">
        <v>380</v>
      </c>
      <c r="L134">
        <v>263</v>
      </c>
      <c r="M134">
        <v>117</v>
      </c>
      <c r="N134">
        <v>117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117</v>
      </c>
      <c r="Z134">
        <v>0</v>
      </c>
      <c r="AA134">
        <v>0</v>
      </c>
      <c r="AB134">
        <v>117</v>
      </c>
      <c r="AC134">
        <v>2</v>
      </c>
      <c r="AD134">
        <v>115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2</v>
      </c>
      <c r="BD134">
        <v>0</v>
      </c>
      <c r="BE134">
        <v>1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2</v>
      </c>
      <c r="BO134">
        <v>55</v>
      </c>
      <c r="BP134">
        <v>12</v>
      </c>
      <c r="BQ134">
        <v>0</v>
      </c>
      <c r="BR134">
        <v>0</v>
      </c>
      <c r="BS134">
        <v>43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55</v>
      </c>
      <c r="CA134">
        <v>3</v>
      </c>
      <c r="CB134">
        <v>2</v>
      </c>
      <c r="CC134">
        <v>1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3</v>
      </c>
      <c r="CM134">
        <v>4</v>
      </c>
      <c r="CN134">
        <v>2</v>
      </c>
      <c r="CO134">
        <v>2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4</v>
      </c>
      <c r="CY134">
        <v>3</v>
      </c>
      <c r="CZ134">
        <v>2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1</v>
      </c>
      <c r="DH134">
        <v>0</v>
      </c>
      <c r="DI134">
        <v>0</v>
      </c>
      <c r="DJ134">
        <v>3</v>
      </c>
      <c r="DK134">
        <v>5</v>
      </c>
      <c r="DL134">
        <v>4</v>
      </c>
      <c r="DM134">
        <v>1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5</v>
      </c>
      <c r="DW134">
        <v>42</v>
      </c>
      <c r="DX134">
        <v>15</v>
      </c>
      <c r="DY134">
        <v>4</v>
      </c>
      <c r="DZ134">
        <v>1</v>
      </c>
      <c r="EA134">
        <v>13</v>
      </c>
      <c r="EB134">
        <v>0</v>
      </c>
      <c r="EC134">
        <v>5</v>
      </c>
      <c r="ED134">
        <v>3</v>
      </c>
      <c r="EE134">
        <v>1</v>
      </c>
      <c r="EF134">
        <v>0</v>
      </c>
      <c r="EG134">
        <v>0</v>
      </c>
      <c r="EH134">
        <v>42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</row>
    <row r="135" spans="1:172" ht="14.25">
      <c r="A135">
        <v>130</v>
      </c>
      <c r="B135" t="str">
        <f aca="true" t="shared" si="23" ref="B135:B161">"101401"</f>
        <v>101401</v>
      </c>
      <c r="C135" t="str">
        <f aca="true" t="shared" si="24" ref="C135:C161">"m. Sieradz"</f>
        <v>m. Sieradz</v>
      </c>
      <c r="D135" t="str">
        <f aca="true" t="shared" si="25" ref="D135:D166">"sieradzki"</f>
        <v>sieradzki</v>
      </c>
      <c r="E135" t="str">
        <f t="shared" si="22"/>
        <v>łódzkie</v>
      </c>
      <c r="F135">
        <v>1</v>
      </c>
      <c r="G135" t="str">
        <f>"Przedszkole Nr 5 im. Misia Uszatka, Jana Pawła II 41, 98-200 Sieradz"</f>
        <v>Przedszkole Nr 5 im. Misia Uszatka, Jana Pawła II 41, 98-200 Sieradz</v>
      </c>
      <c r="H135">
        <v>1363</v>
      </c>
      <c r="I135">
        <v>1362</v>
      </c>
      <c r="J135">
        <v>1</v>
      </c>
      <c r="K135">
        <v>960</v>
      </c>
      <c r="L135">
        <v>572</v>
      </c>
      <c r="M135">
        <v>388</v>
      </c>
      <c r="N135">
        <v>388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388</v>
      </c>
      <c r="Z135">
        <v>0</v>
      </c>
      <c r="AA135">
        <v>0</v>
      </c>
      <c r="AB135">
        <v>388</v>
      </c>
      <c r="AC135">
        <v>11</v>
      </c>
      <c r="AD135">
        <v>377</v>
      </c>
      <c r="AE135">
        <v>8</v>
      </c>
      <c r="AF135">
        <v>3</v>
      </c>
      <c r="AG135">
        <v>1</v>
      </c>
      <c r="AH135">
        <v>0</v>
      </c>
      <c r="AI135">
        <v>1</v>
      </c>
      <c r="AJ135">
        <v>1</v>
      </c>
      <c r="AK135">
        <v>0</v>
      </c>
      <c r="AL135">
        <v>0</v>
      </c>
      <c r="AM135">
        <v>0</v>
      </c>
      <c r="AN135">
        <v>0</v>
      </c>
      <c r="AO135">
        <v>2</v>
      </c>
      <c r="AP135">
        <v>8</v>
      </c>
      <c r="AQ135">
        <v>3</v>
      </c>
      <c r="AR135">
        <v>1</v>
      </c>
      <c r="AS135">
        <v>0</v>
      </c>
      <c r="AT135">
        <v>0</v>
      </c>
      <c r="AU135">
        <v>0</v>
      </c>
      <c r="AV135">
        <v>0</v>
      </c>
      <c r="AW135">
        <v>2</v>
      </c>
      <c r="AX135">
        <v>0</v>
      </c>
      <c r="AY135">
        <v>0</v>
      </c>
      <c r="AZ135">
        <v>0</v>
      </c>
      <c r="BA135">
        <v>0</v>
      </c>
      <c r="BB135">
        <v>3</v>
      </c>
      <c r="BC135">
        <v>55</v>
      </c>
      <c r="BD135">
        <v>11</v>
      </c>
      <c r="BE135">
        <v>7</v>
      </c>
      <c r="BF135">
        <v>31</v>
      </c>
      <c r="BG135">
        <v>2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4</v>
      </c>
      <c r="BN135">
        <v>55</v>
      </c>
      <c r="BO135">
        <v>107</v>
      </c>
      <c r="BP135">
        <v>79</v>
      </c>
      <c r="BQ135">
        <v>8</v>
      </c>
      <c r="BR135">
        <v>3</v>
      </c>
      <c r="BS135">
        <v>15</v>
      </c>
      <c r="BT135">
        <v>0</v>
      </c>
      <c r="BU135">
        <v>0</v>
      </c>
      <c r="BV135">
        <v>2</v>
      </c>
      <c r="BW135">
        <v>0</v>
      </c>
      <c r="BX135">
        <v>0</v>
      </c>
      <c r="BY135">
        <v>0</v>
      </c>
      <c r="BZ135">
        <v>107</v>
      </c>
      <c r="CA135">
        <v>13</v>
      </c>
      <c r="CB135">
        <v>2</v>
      </c>
      <c r="CC135">
        <v>4</v>
      </c>
      <c r="CD135">
        <v>3</v>
      </c>
      <c r="CE135">
        <v>1</v>
      </c>
      <c r="CF135">
        <v>1</v>
      </c>
      <c r="CG135">
        <v>1</v>
      </c>
      <c r="CH135">
        <v>1</v>
      </c>
      <c r="CI135">
        <v>0</v>
      </c>
      <c r="CJ135">
        <v>0</v>
      </c>
      <c r="CK135">
        <v>0</v>
      </c>
      <c r="CL135">
        <v>13</v>
      </c>
      <c r="CM135">
        <v>4</v>
      </c>
      <c r="CN135">
        <v>3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4</v>
      </c>
      <c r="CY135">
        <v>27</v>
      </c>
      <c r="CZ135">
        <v>12</v>
      </c>
      <c r="DA135">
        <v>4</v>
      </c>
      <c r="DB135">
        <v>0</v>
      </c>
      <c r="DC135">
        <v>1</v>
      </c>
      <c r="DD135">
        <v>5</v>
      </c>
      <c r="DE135">
        <v>1</v>
      </c>
      <c r="DF135">
        <v>1</v>
      </c>
      <c r="DG135">
        <v>0</v>
      </c>
      <c r="DH135">
        <v>1</v>
      </c>
      <c r="DI135">
        <v>2</v>
      </c>
      <c r="DJ135">
        <v>27</v>
      </c>
      <c r="DK135">
        <v>134</v>
      </c>
      <c r="DL135">
        <v>75</v>
      </c>
      <c r="DM135">
        <v>14</v>
      </c>
      <c r="DN135">
        <v>1</v>
      </c>
      <c r="DO135">
        <v>38</v>
      </c>
      <c r="DP135">
        <v>0</v>
      </c>
      <c r="DQ135">
        <v>0</v>
      </c>
      <c r="DR135">
        <v>1</v>
      </c>
      <c r="DS135">
        <v>0</v>
      </c>
      <c r="DT135">
        <v>0</v>
      </c>
      <c r="DU135">
        <v>5</v>
      </c>
      <c r="DV135">
        <v>134</v>
      </c>
      <c r="DW135">
        <v>20</v>
      </c>
      <c r="DX135">
        <v>10</v>
      </c>
      <c r="DY135">
        <v>1</v>
      </c>
      <c r="DZ135">
        <v>0</v>
      </c>
      <c r="EA135">
        <v>3</v>
      </c>
      <c r="EB135">
        <v>0</v>
      </c>
      <c r="EC135">
        <v>4</v>
      </c>
      <c r="ED135">
        <v>0</v>
      </c>
      <c r="EE135">
        <v>0</v>
      </c>
      <c r="EF135">
        <v>2</v>
      </c>
      <c r="EG135">
        <v>0</v>
      </c>
      <c r="EH135">
        <v>20</v>
      </c>
      <c r="EI135">
        <v>4</v>
      </c>
      <c r="EJ135">
        <v>0</v>
      </c>
      <c r="EK135">
        <v>3</v>
      </c>
      <c r="EL135">
        <v>1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4</v>
      </c>
      <c r="ES135">
        <v>2</v>
      </c>
      <c r="ET135">
        <v>0</v>
      </c>
      <c r="EU135">
        <v>0</v>
      </c>
      <c r="EV135">
        <v>0</v>
      </c>
      <c r="EW135">
        <v>0</v>
      </c>
      <c r="EX135">
        <v>2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2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</row>
    <row r="136" spans="1:172" ht="14.25">
      <c r="A136">
        <v>131</v>
      </c>
      <c r="B136" t="str">
        <f t="shared" si="23"/>
        <v>101401</v>
      </c>
      <c r="C136" t="str">
        <f t="shared" si="24"/>
        <v>m. Sieradz</v>
      </c>
      <c r="D136" t="str">
        <f t="shared" si="25"/>
        <v>sieradzki</v>
      </c>
      <c r="E136" t="str">
        <f t="shared" si="22"/>
        <v>łódzkie</v>
      </c>
      <c r="F136">
        <v>2</v>
      </c>
      <c r="G136" t="str">
        <f>"Wyższa Szkoła Humanistyczno-Ekonomiczna, Mickiewicza 6, 98-200 Sieradz"</f>
        <v>Wyższa Szkoła Humanistyczno-Ekonomiczna, Mickiewicza 6, 98-200 Sieradz</v>
      </c>
      <c r="H136">
        <v>1072</v>
      </c>
      <c r="I136">
        <v>1072</v>
      </c>
      <c r="J136">
        <v>0</v>
      </c>
      <c r="K136">
        <v>770</v>
      </c>
      <c r="L136">
        <v>532</v>
      </c>
      <c r="M136">
        <v>238</v>
      </c>
      <c r="N136">
        <v>238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238</v>
      </c>
      <c r="Z136">
        <v>0</v>
      </c>
      <c r="AA136">
        <v>0</v>
      </c>
      <c r="AB136">
        <v>238</v>
      </c>
      <c r="AC136">
        <v>6</v>
      </c>
      <c r="AD136">
        <v>232</v>
      </c>
      <c r="AE136">
        <v>6</v>
      </c>
      <c r="AF136">
        <v>3</v>
      </c>
      <c r="AG136">
        <v>2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1</v>
      </c>
      <c r="AN136">
        <v>0</v>
      </c>
      <c r="AO136">
        <v>0</v>
      </c>
      <c r="AP136">
        <v>6</v>
      </c>
      <c r="AQ136">
        <v>1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1</v>
      </c>
      <c r="BC136">
        <v>35</v>
      </c>
      <c r="BD136">
        <v>11</v>
      </c>
      <c r="BE136">
        <v>1</v>
      </c>
      <c r="BF136">
        <v>21</v>
      </c>
      <c r="BG136">
        <v>0</v>
      </c>
      <c r="BH136">
        <v>1</v>
      </c>
      <c r="BI136">
        <v>0</v>
      </c>
      <c r="BJ136">
        <v>0</v>
      </c>
      <c r="BK136">
        <v>0</v>
      </c>
      <c r="BL136">
        <v>1</v>
      </c>
      <c r="BM136">
        <v>0</v>
      </c>
      <c r="BN136">
        <v>35</v>
      </c>
      <c r="BO136">
        <v>103</v>
      </c>
      <c r="BP136">
        <v>78</v>
      </c>
      <c r="BQ136">
        <v>6</v>
      </c>
      <c r="BR136">
        <v>2</v>
      </c>
      <c r="BS136">
        <v>11</v>
      </c>
      <c r="BT136">
        <v>0</v>
      </c>
      <c r="BU136">
        <v>1</v>
      </c>
      <c r="BV136">
        <v>2</v>
      </c>
      <c r="BW136">
        <v>1</v>
      </c>
      <c r="BX136">
        <v>1</v>
      </c>
      <c r="BY136">
        <v>1</v>
      </c>
      <c r="BZ136">
        <v>103</v>
      </c>
      <c r="CA136">
        <v>3</v>
      </c>
      <c r="CB136">
        <v>3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3</v>
      </c>
      <c r="CM136">
        <v>6</v>
      </c>
      <c r="CN136">
        <v>4</v>
      </c>
      <c r="CO136">
        <v>0</v>
      </c>
      <c r="CP136">
        <v>1</v>
      </c>
      <c r="CQ136">
        <v>1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6</v>
      </c>
      <c r="CY136">
        <v>13</v>
      </c>
      <c r="CZ136">
        <v>4</v>
      </c>
      <c r="DA136">
        <v>2</v>
      </c>
      <c r="DB136">
        <v>0</v>
      </c>
      <c r="DC136">
        <v>0</v>
      </c>
      <c r="DD136">
        <v>6</v>
      </c>
      <c r="DE136">
        <v>0</v>
      </c>
      <c r="DF136">
        <v>0</v>
      </c>
      <c r="DG136">
        <v>1</v>
      </c>
      <c r="DH136">
        <v>0</v>
      </c>
      <c r="DI136">
        <v>0</v>
      </c>
      <c r="DJ136">
        <v>13</v>
      </c>
      <c r="DK136">
        <v>56</v>
      </c>
      <c r="DL136">
        <v>32</v>
      </c>
      <c r="DM136">
        <v>9</v>
      </c>
      <c r="DN136">
        <v>1</v>
      </c>
      <c r="DO136">
        <v>14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56</v>
      </c>
      <c r="DW136">
        <v>7</v>
      </c>
      <c r="DX136">
        <v>1</v>
      </c>
      <c r="DY136">
        <v>0</v>
      </c>
      <c r="DZ136">
        <v>1</v>
      </c>
      <c r="EA136">
        <v>0</v>
      </c>
      <c r="EB136">
        <v>0</v>
      </c>
      <c r="EC136">
        <v>2</v>
      </c>
      <c r="ED136">
        <v>3</v>
      </c>
      <c r="EE136">
        <v>0</v>
      </c>
      <c r="EF136">
        <v>0</v>
      </c>
      <c r="EG136">
        <v>0</v>
      </c>
      <c r="EH136">
        <v>7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2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2</v>
      </c>
      <c r="FP136">
        <v>2</v>
      </c>
    </row>
    <row r="137" spans="1:172" ht="14.25">
      <c r="A137">
        <v>132</v>
      </c>
      <c r="B137" t="str">
        <f t="shared" si="23"/>
        <v>101401</v>
      </c>
      <c r="C137" t="str">
        <f t="shared" si="24"/>
        <v>m. Sieradz</v>
      </c>
      <c r="D137" t="str">
        <f t="shared" si="25"/>
        <v>sieradzki</v>
      </c>
      <c r="E137" t="str">
        <f t="shared" si="22"/>
        <v>łódzkie</v>
      </c>
      <c r="F137">
        <v>3</v>
      </c>
      <c r="G137" t="str">
        <f>"I Liceum Ogólnokształcące im. Kazimierza Jagiellończyka, Żwirki i Wigury 3, 98-200 Sieradz"</f>
        <v>I Liceum Ogólnokształcące im. Kazimierza Jagiellończyka, Żwirki i Wigury 3, 98-200 Sieradz</v>
      </c>
      <c r="H137">
        <v>1648</v>
      </c>
      <c r="I137">
        <v>1648</v>
      </c>
      <c r="J137">
        <v>0</v>
      </c>
      <c r="K137">
        <v>1170</v>
      </c>
      <c r="L137">
        <v>755</v>
      </c>
      <c r="M137">
        <v>415</v>
      </c>
      <c r="N137">
        <v>415</v>
      </c>
      <c r="O137">
        <v>0</v>
      </c>
      <c r="P137">
        <v>0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415</v>
      </c>
      <c r="Z137">
        <v>0</v>
      </c>
      <c r="AA137">
        <v>0</v>
      </c>
      <c r="AB137">
        <v>415</v>
      </c>
      <c r="AC137">
        <v>17</v>
      </c>
      <c r="AD137">
        <v>398</v>
      </c>
      <c r="AE137">
        <v>6</v>
      </c>
      <c r="AF137">
        <v>4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1</v>
      </c>
      <c r="AM137">
        <v>0</v>
      </c>
      <c r="AN137">
        <v>1</v>
      </c>
      <c r="AO137">
        <v>0</v>
      </c>
      <c r="AP137">
        <v>6</v>
      </c>
      <c r="AQ137">
        <v>2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1</v>
      </c>
      <c r="AY137">
        <v>0</v>
      </c>
      <c r="AZ137">
        <v>0</v>
      </c>
      <c r="BA137">
        <v>0</v>
      </c>
      <c r="BB137">
        <v>2</v>
      </c>
      <c r="BC137">
        <v>46</v>
      </c>
      <c r="BD137">
        <v>16</v>
      </c>
      <c r="BE137">
        <v>1</v>
      </c>
      <c r="BF137">
        <v>23</v>
      </c>
      <c r="BG137">
        <v>4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1</v>
      </c>
      <c r="BN137">
        <v>46</v>
      </c>
      <c r="BO137">
        <v>129</v>
      </c>
      <c r="BP137">
        <v>88</v>
      </c>
      <c r="BQ137">
        <v>8</v>
      </c>
      <c r="BR137">
        <v>6</v>
      </c>
      <c r="BS137">
        <v>18</v>
      </c>
      <c r="BT137">
        <v>1</v>
      </c>
      <c r="BU137">
        <v>0</v>
      </c>
      <c r="BV137">
        <v>2</v>
      </c>
      <c r="BW137">
        <v>0</v>
      </c>
      <c r="BX137">
        <v>3</v>
      </c>
      <c r="BY137">
        <v>3</v>
      </c>
      <c r="BZ137">
        <v>129</v>
      </c>
      <c r="CA137">
        <v>12</v>
      </c>
      <c r="CB137">
        <v>6</v>
      </c>
      <c r="CC137">
        <v>4</v>
      </c>
      <c r="CD137">
        <v>0</v>
      </c>
      <c r="CE137">
        <v>0</v>
      </c>
      <c r="CF137">
        <v>0</v>
      </c>
      <c r="CG137">
        <v>1</v>
      </c>
      <c r="CH137">
        <v>0</v>
      </c>
      <c r="CI137">
        <v>1</v>
      </c>
      <c r="CJ137">
        <v>0</v>
      </c>
      <c r="CK137">
        <v>0</v>
      </c>
      <c r="CL137">
        <v>12</v>
      </c>
      <c r="CM137">
        <v>7</v>
      </c>
      <c r="CN137">
        <v>2</v>
      </c>
      <c r="CO137">
        <v>1</v>
      </c>
      <c r="CP137">
        <v>1</v>
      </c>
      <c r="CQ137">
        <v>2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1</v>
      </c>
      <c r="CX137">
        <v>7</v>
      </c>
      <c r="CY137">
        <v>25</v>
      </c>
      <c r="CZ137">
        <v>9</v>
      </c>
      <c r="DA137">
        <v>1</v>
      </c>
      <c r="DB137">
        <v>0</v>
      </c>
      <c r="DC137">
        <v>0</v>
      </c>
      <c r="DD137">
        <v>9</v>
      </c>
      <c r="DE137">
        <v>0</v>
      </c>
      <c r="DF137">
        <v>1</v>
      </c>
      <c r="DG137">
        <v>2</v>
      </c>
      <c r="DH137">
        <v>1</v>
      </c>
      <c r="DI137">
        <v>2</v>
      </c>
      <c r="DJ137">
        <v>25</v>
      </c>
      <c r="DK137">
        <v>157</v>
      </c>
      <c r="DL137">
        <v>92</v>
      </c>
      <c r="DM137">
        <v>28</v>
      </c>
      <c r="DN137">
        <v>0</v>
      </c>
      <c r="DO137">
        <v>33</v>
      </c>
      <c r="DP137">
        <v>1</v>
      </c>
      <c r="DQ137">
        <v>0</v>
      </c>
      <c r="DR137">
        <v>1</v>
      </c>
      <c r="DS137">
        <v>1</v>
      </c>
      <c r="DT137">
        <v>0</v>
      </c>
      <c r="DU137">
        <v>1</v>
      </c>
      <c r="DV137">
        <v>157</v>
      </c>
      <c r="DW137">
        <v>11</v>
      </c>
      <c r="DX137">
        <v>7</v>
      </c>
      <c r="DY137">
        <v>3</v>
      </c>
      <c r="DZ137">
        <v>0</v>
      </c>
      <c r="EA137">
        <v>0</v>
      </c>
      <c r="EB137">
        <v>0</v>
      </c>
      <c r="EC137">
        <v>0</v>
      </c>
      <c r="ED137">
        <v>1</v>
      </c>
      <c r="EE137">
        <v>0</v>
      </c>
      <c r="EF137">
        <v>0</v>
      </c>
      <c r="EG137">
        <v>0</v>
      </c>
      <c r="EH137">
        <v>11</v>
      </c>
      <c r="EI137">
        <v>2</v>
      </c>
      <c r="EJ137">
        <v>0</v>
      </c>
      <c r="EK137">
        <v>1</v>
      </c>
      <c r="EL137">
        <v>0</v>
      </c>
      <c r="EM137">
        <v>0</v>
      </c>
      <c r="EN137">
        <v>0</v>
      </c>
      <c r="EO137">
        <v>1</v>
      </c>
      <c r="EP137">
        <v>0</v>
      </c>
      <c r="EQ137">
        <v>0</v>
      </c>
      <c r="ER137">
        <v>2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1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1</v>
      </c>
      <c r="FM137">
        <v>0</v>
      </c>
      <c r="FN137">
        <v>0</v>
      </c>
      <c r="FO137">
        <v>0</v>
      </c>
      <c r="FP137">
        <v>1</v>
      </c>
    </row>
    <row r="138" spans="1:172" ht="14.25">
      <c r="A138">
        <v>133</v>
      </c>
      <c r="B138" t="str">
        <f t="shared" si="23"/>
        <v>101401</v>
      </c>
      <c r="C138" t="str">
        <f t="shared" si="24"/>
        <v>m. Sieradz</v>
      </c>
      <c r="D138" t="str">
        <f t="shared" si="25"/>
        <v>sieradzki</v>
      </c>
      <c r="E138" t="str">
        <f t="shared" si="22"/>
        <v>łódzkie</v>
      </c>
      <c r="F138">
        <v>4</v>
      </c>
      <c r="G138" t="str">
        <f>"Szkoła Podstawowa Integracyjna Nr 8, Szlachecka 11, 98-200 Sieradz"</f>
        <v>Szkoła Podstawowa Integracyjna Nr 8, Szlachecka 11, 98-200 Sieradz</v>
      </c>
      <c r="H138">
        <v>1097</v>
      </c>
      <c r="I138">
        <v>1097</v>
      </c>
      <c r="J138">
        <v>0</v>
      </c>
      <c r="K138">
        <v>771</v>
      </c>
      <c r="L138">
        <v>485</v>
      </c>
      <c r="M138">
        <v>286</v>
      </c>
      <c r="N138">
        <v>286</v>
      </c>
      <c r="O138">
        <v>0</v>
      </c>
      <c r="P138">
        <v>0</v>
      </c>
      <c r="Q138">
        <v>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285</v>
      </c>
      <c r="Z138">
        <v>0</v>
      </c>
      <c r="AA138">
        <v>0</v>
      </c>
      <c r="AB138">
        <v>285</v>
      </c>
      <c r="AC138">
        <v>22</v>
      </c>
      <c r="AD138">
        <v>263</v>
      </c>
      <c r="AE138">
        <v>13</v>
      </c>
      <c r="AF138">
        <v>7</v>
      </c>
      <c r="AG138">
        <v>0</v>
      </c>
      <c r="AH138">
        <v>2</v>
      </c>
      <c r="AI138">
        <v>1</v>
      </c>
      <c r="AJ138">
        <v>0</v>
      </c>
      <c r="AK138">
        <v>1</v>
      </c>
      <c r="AL138">
        <v>0</v>
      </c>
      <c r="AM138">
        <v>0</v>
      </c>
      <c r="AN138">
        <v>1</v>
      </c>
      <c r="AO138">
        <v>1</v>
      </c>
      <c r="AP138">
        <v>13</v>
      </c>
      <c r="AQ138">
        <v>5</v>
      </c>
      <c r="AR138">
        <v>4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1</v>
      </c>
      <c r="AZ138">
        <v>0</v>
      </c>
      <c r="BA138">
        <v>0</v>
      </c>
      <c r="BB138">
        <v>5</v>
      </c>
      <c r="BC138">
        <v>11</v>
      </c>
      <c r="BD138">
        <v>1</v>
      </c>
      <c r="BE138">
        <v>1</v>
      </c>
      <c r="BF138">
        <v>7</v>
      </c>
      <c r="BG138">
        <v>0</v>
      </c>
      <c r="BH138">
        <v>0</v>
      </c>
      <c r="BI138">
        <v>1</v>
      </c>
      <c r="BJ138">
        <v>0</v>
      </c>
      <c r="BK138">
        <v>1</v>
      </c>
      <c r="BL138">
        <v>0</v>
      </c>
      <c r="BM138">
        <v>0</v>
      </c>
      <c r="BN138">
        <v>11</v>
      </c>
      <c r="BO138">
        <v>128</v>
      </c>
      <c r="BP138">
        <v>84</v>
      </c>
      <c r="BQ138">
        <v>5</v>
      </c>
      <c r="BR138">
        <v>9</v>
      </c>
      <c r="BS138">
        <v>21</v>
      </c>
      <c r="BT138">
        <v>1</v>
      </c>
      <c r="BU138">
        <v>0</v>
      </c>
      <c r="BV138">
        <v>1</v>
      </c>
      <c r="BW138">
        <v>1</v>
      </c>
      <c r="BX138">
        <v>0</v>
      </c>
      <c r="BY138">
        <v>6</v>
      </c>
      <c r="BZ138">
        <v>128</v>
      </c>
      <c r="CA138">
        <v>2</v>
      </c>
      <c r="CB138">
        <v>1</v>
      </c>
      <c r="CC138">
        <v>1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2</v>
      </c>
      <c r="CM138">
        <v>4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2</v>
      </c>
      <c r="CT138">
        <v>0</v>
      </c>
      <c r="CU138">
        <v>0</v>
      </c>
      <c r="CV138">
        <v>2</v>
      </c>
      <c r="CW138">
        <v>0</v>
      </c>
      <c r="CX138">
        <v>4</v>
      </c>
      <c r="CY138">
        <v>26</v>
      </c>
      <c r="CZ138">
        <v>18</v>
      </c>
      <c r="DA138">
        <v>1</v>
      </c>
      <c r="DB138">
        <v>0</v>
      </c>
      <c r="DC138">
        <v>3</v>
      </c>
      <c r="DD138">
        <v>4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26</v>
      </c>
      <c r="DK138">
        <v>59</v>
      </c>
      <c r="DL138">
        <v>29</v>
      </c>
      <c r="DM138">
        <v>10</v>
      </c>
      <c r="DN138">
        <v>1</v>
      </c>
      <c r="DO138">
        <v>18</v>
      </c>
      <c r="DP138">
        <v>1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59</v>
      </c>
      <c r="DW138">
        <v>12</v>
      </c>
      <c r="DX138">
        <v>7</v>
      </c>
      <c r="DY138">
        <v>1</v>
      </c>
      <c r="DZ138">
        <v>0</v>
      </c>
      <c r="EA138">
        <v>0</v>
      </c>
      <c r="EB138">
        <v>0</v>
      </c>
      <c r="EC138">
        <v>1</v>
      </c>
      <c r="ED138">
        <v>1</v>
      </c>
      <c r="EE138">
        <v>0</v>
      </c>
      <c r="EF138">
        <v>2</v>
      </c>
      <c r="EG138">
        <v>0</v>
      </c>
      <c r="EH138">
        <v>12</v>
      </c>
      <c r="EI138">
        <v>2</v>
      </c>
      <c r="EJ138">
        <v>0</v>
      </c>
      <c r="EK138">
        <v>1</v>
      </c>
      <c r="EL138">
        <v>0</v>
      </c>
      <c r="EM138">
        <v>0</v>
      </c>
      <c r="EN138">
        <v>0</v>
      </c>
      <c r="EO138">
        <v>0</v>
      </c>
      <c r="EP138">
        <v>1</v>
      </c>
      <c r="EQ138">
        <v>0</v>
      </c>
      <c r="ER138">
        <v>2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1</v>
      </c>
      <c r="FO138">
        <v>0</v>
      </c>
      <c r="FP138">
        <v>1</v>
      </c>
    </row>
    <row r="139" spans="1:172" ht="14.25">
      <c r="A139">
        <v>134</v>
      </c>
      <c r="B139" t="str">
        <f t="shared" si="23"/>
        <v>101401</v>
      </c>
      <c r="C139" t="str">
        <f t="shared" si="24"/>
        <v>m. Sieradz</v>
      </c>
      <c r="D139" t="str">
        <f t="shared" si="25"/>
        <v>sieradzki</v>
      </c>
      <c r="E139" t="str">
        <f t="shared" si="22"/>
        <v>łódzkie</v>
      </c>
      <c r="F139">
        <v>5</v>
      </c>
      <c r="G139" t="str">
        <f>"Państwowa Szkoła Muzyczna I stopnia, Jana Pawła II 48, 98-200 Sieradz"</f>
        <v>Państwowa Szkoła Muzyczna I stopnia, Jana Pawła II 48, 98-200 Sieradz</v>
      </c>
      <c r="H139">
        <v>1989</v>
      </c>
      <c r="I139">
        <v>1989</v>
      </c>
      <c r="J139">
        <v>0</v>
      </c>
      <c r="K139">
        <v>1410</v>
      </c>
      <c r="L139">
        <v>880</v>
      </c>
      <c r="M139">
        <v>530</v>
      </c>
      <c r="N139">
        <v>530</v>
      </c>
      <c r="O139">
        <v>0</v>
      </c>
      <c r="P139">
        <v>1</v>
      </c>
      <c r="Q139">
        <v>2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530</v>
      </c>
      <c r="Z139">
        <v>0</v>
      </c>
      <c r="AA139">
        <v>0</v>
      </c>
      <c r="AB139">
        <v>530</v>
      </c>
      <c r="AC139">
        <v>12</v>
      </c>
      <c r="AD139">
        <v>518</v>
      </c>
      <c r="AE139">
        <v>8</v>
      </c>
      <c r="AF139">
        <v>2</v>
      </c>
      <c r="AG139">
        <v>1</v>
      </c>
      <c r="AH139">
        <v>2</v>
      </c>
      <c r="AI139">
        <v>3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8</v>
      </c>
      <c r="AQ139">
        <v>3</v>
      </c>
      <c r="AR139">
        <v>1</v>
      </c>
      <c r="AS139">
        <v>1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0</v>
      </c>
      <c r="BB139">
        <v>3</v>
      </c>
      <c r="BC139">
        <v>69</v>
      </c>
      <c r="BD139">
        <v>15</v>
      </c>
      <c r="BE139">
        <v>3</v>
      </c>
      <c r="BF139">
        <v>39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1</v>
      </c>
      <c r="BM139">
        <v>11</v>
      </c>
      <c r="BN139">
        <v>69</v>
      </c>
      <c r="BO139">
        <v>170</v>
      </c>
      <c r="BP139">
        <v>123</v>
      </c>
      <c r="BQ139">
        <v>12</v>
      </c>
      <c r="BR139">
        <v>10</v>
      </c>
      <c r="BS139">
        <v>17</v>
      </c>
      <c r="BT139">
        <v>1</v>
      </c>
      <c r="BU139">
        <v>1</v>
      </c>
      <c r="BV139">
        <v>2</v>
      </c>
      <c r="BW139">
        <v>2</v>
      </c>
      <c r="BX139">
        <v>1</v>
      </c>
      <c r="BY139">
        <v>1</v>
      </c>
      <c r="BZ139">
        <v>170</v>
      </c>
      <c r="CA139">
        <v>11</v>
      </c>
      <c r="CB139">
        <v>6</v>
      </c>
      <c r="CC139">
        <v>3</v>
      </c>
      <c r="CD139">
        <v>0</v>
      </c>
      <c r="CE139">
        <v>0</v>
      </c>
      <c r="CF139">
        <v>0</v>
      </c>
      <c r="CG139">
        <v>0</v>
      </c>
      <c r="CH139">
        <v>1</v>
      </c>
      <c r="CI139">
        <v>0</v>
      </c>
      <c r="CJ139">
        <v>0</v>
      </c>
      <c r="CK139">
        <v>1</v>
      </c>
      <c r="CL139">
        <v>11</v>
      </c>
      <c r="CM139">
        <v>13</v>
      </c>
      <c r="CN139">
        <v>9</v>
      </c>
      <c r="CO139">
        <v>2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1</v>
      </c>
      <c r="CW139">
        <v>1</v>
      </c>
      <c r="CX139">
        <v>13</v>
      </c>
      <c r="CY139">
        <v>33</v>
      </c>
      <c r="CZ139">
        <v>10</v>
      </c>
      <c r="DA139">
        <v>6</v>
      </c>
      <c r="DB139">
        <v>0</v>
      </c>
      <c r="DC139">
        <v>3</v>
      </c>
      <c r="DD139">
        <v>5</v>
      </c>
      <c r="DE139">
        <v>0</v>
      </c>
      <c r="DF139">
        <v>0</v>
      </c>
      <c r="DG139">
        <v>1</v>
      </c>
      <c r="DH139">
        <v>2</v>
      </c>
      <c r="DI139">
        <v>6</v>
      </c>
      <c r="DJ139">
        <v>33</v>
      </c>
      <c r="DK139">
        <v>184</v>
      </c>
      <c r="DL139">
        <v>106</v>
      </c>
      <c r="DM139">
        <v>28</v>
      </c>
      <c r="DN139">
        <v>2</v>
      </c>
      <c r="DO139">
        <v>39</v>
      </c>
      <c r="DP139">
        <v>0</v>
      </c>
      <c r="DQ139">
        <v>1</v>
      </c>
      <c r="DR139">
        <v>0</v>
      </c>
      <c r="DS139">
        <v>1</v>
      </c>
      <c r="DT139">
        <v>3</v>
      </c>
      <c r="DU139">
        <v>4</v>
      </c>
      <c r="DV139">
        <v>184</v>
      </c>
      <c r="DW139">
        <v>18</v>
      </c>
      <c r="DX139">
        <v>6</v>
      </c>
      <c r="DY139">
        <v>0</v>
      </c>
      <c r="DZ139">
        <v>0</v>
      </c>
      <c r="EA139">
        <v>1</v>
      </c>
      <c r="EB139">
        <v>0</v>
      </c>
      <c r="EC139">
        <v>4</v>
      </c>
      <c r="ED139">
        <v>1</v>
      </c>
      <c r="EE139">
        <v>6</v>
      </c>
      <c r="EF139">
        <v>0</v>
      </c>
      <c r="EG139">
        <v>0</v>
      </c>
      <c r="EH139">
        <v>18</v>
      </c>
      <c r="EI139">
        <v>3</v>
      </c>
      <c r="EJ139">
        <v>1</v>
      </c>
      <c r="EK139">
        <v>0</v>
      </c>
      <c r="EL139">
        <v>0</v>
      </c>
      <c r="EM139">
        <v>0</v>
      </c>
      <c r="EN139">
        <v>0</v>
      </c>
      <c r="EO139">
        <v>2</v>
      </c>
      <c r="EP139">
        <v>0</v>
      </c>
      <c r="EQ139">
        <v>0</v>
      </c>
      <c r="ER139">
        <v>3</v>
      </c>
      <c r="ES139">
        <v>1</v>
      </c>
      <c r="ET139">
        <v>0</v>
      </c>
      <c r="EU139">
        <v>0</v>
      </c>
      <c r="EV139">
        <v>0</v>
      </c>
      <c r="EW139">
        <v>0</v>
      </c>
      <c r="EX139">
        <v>1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1</v>
      </c>
      <c r="FE139">
        <v>5</v>
      </c>
      <c r="FF139">
        <v>0</v>
      </c>
      <c r="FG139">
        <v>3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1</v>
      </c>
      <c r="FN139">
        <v>0</v>
      </c>
      <c r="FO139">
        <v>1</v>
      </c>
      <c r="FP139">
        <v>5</v>
      </c>
    </row>
    <row r="140" spans="1:172" ht="14.25">
      <c r="A140">
        <v>135</v>
      </c>
      <c r="B140" t="str">
        <f t="shared" si="23"/>
        <v>101401</v>
      </c>
      <c r="C140" t="str">
        <f t="shared" si="24"/>
        <v>m. Sieradz</v>
      </c>
      <c r="D140" t="str">
        <f t="shared" si="25"/>
        <v>sieradzki</v>
      </c>
      <c r="E140" t="str">
        <f t="shared" si="22"/>
        <v>łódzkie</v>
      </c>
      <c r="F140">
        <v>6</v>
      </c>
      <c r="G140" t="str">
        <f>"Przedszkole Nr 3 im. Jana Brzechwy, Władysława Łokietka 27A, 98-200 Sieradz"</f>
        <v>Przedszkole Nr 3 im. Jana Brzechwy, Władysława Łokietka 27A, 98-200 Sieradz</v>
      </c>
      <c r="H140">
        <v>2031</v>
      </c>
      <c r="I140">
        <v>2031</v>
      </c>
      <c r="J140">
        <v>0</v>
      </c>
      <c r="K140">
        <v>1439</v>
      </c>
      <c r="L140">
        <v>950</v>
      </c>
      <c r="M140">
        <v>489</v>
      </c>
      <c r="N140">
        <v>489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489</v>
      </c>
      <c r="Z140">
        <v>0</v>
      </c>
      <c r="AA140">
        <v>0</v>
      </c>
      <c r="AB140">
        <v>489</v>
      </c>
      <c r="AC140">
        <v>16</v>
      </c>
      <c r="AD140">
        <v>473</v>
      </c>
      <c r="AE140">
        <v>10</v>
      </c>
      <c r="AF140">
        <v>6</v>
      </c>
      <c r="AG140">
        <v>1</v>
      </c>
      <c r="AH140">
        <v>2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0</v>
      </c>
      <c r="AO140">
        <v>0</v>
      </c>
      <c r="AP140">
        <v>10</v>
      </c>
      <c r="AQ140">
        <v>2</v>
      </c>
      <c r="AR140">
        <v>1</v>
      </c>
      <c r="AS140">
        <v>0</v>
      </c>
      <c r="AT140">
        <v>0</v>
      </c>
      <c r="AU140">
        <v>1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2</v>
      </c>
      <c r="BC140">
        <v>77</v>
      </c>
      <c r="BD140">
        <v>20</v>
      </c>
      <c r="BE140">
        <v>2</v>
      </c>
      <c r="BF140">
        <v>47</v>
      </c>
      <c r="BG140">
        <v>0</v>
      </c>
      <c r="BH140">
        <v>4</v>
      </c>
      <c r="BI140">
        <v>0</v>
      </c>
      <c r="BJ140">
        <v>0</v>
      </c>
      <c r="BK140">
        <v>0</v>
      </c>
      <c r="BL140">
        <v>0</v>
      </c>
      <c r="BM140">
        <v>4</v>
      </c>
      <c r="BN140">
        <v>77</v>
      </c>
      <c r="BO140">
        <v>175</v>
      </c>
      <c r="BP140">
        <v>114</v>
      </c>
      <c r="BQ140">
        <v>10</v>
      </c>
      <c r="BR140">
        <v>9</v>
      </c>
      <c r="BS140">
        <v>34</v>
      </c>
      <c r="BT140">
        <v>2</v>
      </c>
      <c r="BU140">
        <v>0</v>
      </c>
      <c r="BV140">
        <v>0</v>
      </c>
      <c r="BW140">
        <v>1</v>
      </c>
      <c r="BX140">
        <v>0</v>
      </c>
      <c r="BY140">
        <v>5</v>
      </c>
      <c r="BZ140">
        <v>175</v>
      </c>
      <c r="CA140">
        <v>11</v>
      </c>
      <c r="CB140">
        <v>3</v>
      </c>
      <c r="CC140">
        <v>5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3</v>
      </c>
      <c r="CL140">
        <v>11</v>
      </c>
      <c r="CM140">
        <v>8</v>
      </c>
      <c r="CN140">
        <v>4</v>
      </c>
      <c r="CO140">
        <v>3</v>
      </c>
      <c r="CP140">
        <v>0</v>
      </c>
      <c r="CQ140">
        <v>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8</v>
      </c>
      <c r="CY140">
        <v>26</v>
      </c>
      <c r="CZ140">
        <v>13</v>
      </c>
      <c r="DA140">
        <v>1</v>
      </c>
      <c r="DB140">
        <v>0</v>
      </c>
      <c r="DC140">
        <v>0</v>
      </c>
      <c r="DD140">
        <v>9</v>
      </c>
      <c r="DE140">
        <v>1</v>
      </c>
      <c r="DF140">
        <v>0</v>
      </c>
      <c r="DG140">
        <v>0</v>
      </c>
      <c r="DH140">
        <v>1</v>
      </c>
      <c r="DI140">
        <v>1</v>
      </c>
      <c r="DJ140">
        <v>26</v>
      </c>
      <c r="DK140">
        <v>148</v>
      </c>
      <c r="DL140">
        <v>70</v>
      </c>
      <c r="DM140">
        <v>23</v>
      </c>
      <c r="DN140">
        <v>2</v>
      </c>
      <c r="DO140">
        <v>42</v>
      </c>
      <c r="DP140">
        <v>6</v>
      </c>
      <c r="DQ140">
        <v>0</v>
      </c>
      <c r="DR140">
        <v>0</v>
      </c>
      <c r="DS140">
        <v>0</v>
      </c>
      <c r="DT140">
        <v>2</v>
      </c>
      <c r="DU140">
        <v>3</v>
      </c>
      <c r="DV140">
        <v>148</v>
      </c>
      <c r="DW140">
        <v>12</v>
      </c>
      <c r="DX140">
        <v>5</v>
      </c>
      <c r="DY140">
        <v>0</v>
      </c>
      <c r="DZ140">
        <v>1</v>
      </c>
      <c r="EA140">
        <v>4</v>
      </c>
      <c r="EB140">
        <v>1</v>
      </c>
      <c r="EC140">
        <v>0</v>
      </c>
      <c r="ED140">
        <v>0</v>
      </c>
      <c r="EE140">
        <v>1</v>
      </c>
      <c r="EF140">
        <v>0</v>
      </c>
      <c r="EG140">
        <v>0</v>
      </c>
      <c r="EH140">
        <v>12</v>
      </c>
      <c r="EI140">
        <v>1</v>
      </c>
      <c r="EJ140">
        <v>0</v>
      </c>
      <c r="EK140">
        <v>1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1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3</v>
      </c>
      <c r="FF140">
        <v>1</v>
      </c>
      <c r="FG140">
        <v>2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3</v>
      </c>
    </row>
    <row r="141" spans="1:172" ht="14.25">
      <c r="A141">
        <v>136</v>
      </c>
      <c r="B141" t="str">
        <f t="shared" si="23"/>
        <v>101401</v>
      </c>
      <c r="C141" t="str">
        <f t="shared" si="24"/>
        <v>m. Sieradz</v>
      </c>
      <c r="D141" t="str">
        <f t="shared" si="25"/>
        <v>sieradzki</v>
      </c>
      <c r="E141" t="str">
        <f t="shared" si="22"/>
        <v>łódzkie</v>
      </c>
      <c r="F141">
        <v>7</v>
      </c>
      <c r="G141" t="str">
        <f>"Szkoła Podstawowa Nr 9 im. Władysława Łokietka, Władysława Łokietka 55, 98-200 Sieradz"</f>
        <v>Szkoła Podstawowa Nr 9 im. Władysława Łokietka, Władysława Łokietka 55, 98-200 Sieradz</v>
      </c>
      <c r="H141">
        <v>1979</v>
      </c>
      <c r="I141">
        <v>1979</v>
      </c>
      <c r="J141">
        <v>0</v>
      </c>
      <c r="K141">
        <v>1398</v>
      </c>
      <c r="L141">
        <v>887</v>
      </c>
      <c r="M141">
        <v>511</v>
      </c>
      <c r="N141">
        <v>511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511</v>
      </c>
      <c r="Z141">
        <v>0</v>
      </c>
      <c r="AA141">
        <v>0</v>
      </c>
      <c r="AB141">
        <v>511</v>
      </c>
      <c r="AC141">
        <v>12</v>
      </c>
      <c r="AD141">
        <v>499</v>
      </c>
      <c r="AE141">
        <v>11</v>
      </c>
      <c r="AF141">
        <v>4</v>
      </c>
      <c r="AG141">
        <v>3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2</v>
      </c>
      <c r="AO141">
        <v>1</v>
      </c>
      <c r="AP141">
        <v>11</v>
      </c>
      <c r="AQ141">
        <v>18</v>
      </c>
      <c r="AR141">
        <v>16</v>
      </c>
      <c r="AS141">
        <v>1</v>
      </c>
      <c r="AT141">
        <v>0</v>
      </c>
      <c r="AU141">
        <v>0</v>
      </c>
      <c r="AV141">
        <v>0</v>
      </c>
      <c r="AW141">
        <v>1</v>
      </c>
      <c r="AX141">
        <v>0</v>
      </c>
      <c r="AY141">
        <v>0</v>
      </c>
      <c r="AZ141">
        <v>0</v>
      </c>
      <c r="BA141">
        <v>0</v>
      </c>
      <c r="BB141">
        <v>18</v>
      </c>
      <c r="BC141">
        <v>54</v>
      </c>
      <c r="BD141">
        <v>12</v>
      </c>
      <c r="BE141">
        <v>3</v>
      </c>
      <c r="BF141">
        <v>34</v>
      </c>
      <c r="BG141">
        <v>1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4</v>
      </c>
      <c r="BN141">
        <v>54</v>
      </c>
      <c r="BO141">
        <v>137</v>
      </c>
      <c r="BP141">
        <v>98</v>
      </c>
      <c r="BQ141">
        <v>10</v>
      </c>
      <c r="BR141">
        <v>7</v>
      </c>
      <c r="BS141">
        <v>14</v>
      </c>
      <c r="BT141">
        <v>1</v>
      </c>
      <c r="BU141">
        <v>0</v>
      </c>
      <c r="BV141">
        <v>3</v>
      </c>
      <c r="BW141">
        <v>1</v>
      </c>
      <c r="BX141">
        <v>0</v>
      </c>
      <c r="BY141">
        <v>3</v>
      </c>
      <c r="BZ141">
        <v>137</v>
      </c>
      <c r="CA141">
        <v>11</v>
      </c>
      <c r="CB141">
        <v>2</v>
      </c>
      <c r="CC141">
        <v>3</v>
      </c>
      <c r="CD141">
        <v>0</v>
      </c>
      <c r="CE141">
        <v>1</v>
      </c>
      <c r="CF141">
        <v>0</v>
      </c>
      <c r="CG141">
        <v>2</v>
      </c>
      <c r="CH141">
        <v>1</v>
      </c>
      <c r="CI141">
        <v>0</v>
      </c>
      <c r="CJ141">
        <v>0</v>
      </c>
      <c r="CK141">
        <v>2</v>
      </c>
      <c r="CL141">
        <v>11</v>
      </c>
      <c r="CM141">
        <v>5</v>
      </c>
      <c r="CN141">
        <v>4</v>
      </c>
      <c r="CO141">
        <v>1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5</v>
      </c>
      <c r="CY141">
        <v>58</v>
      </c>
      <c r="CZ141">
        <v>34</v>
      </c>
      <c r="DA141">
        <v>4</v>
      </c>
      <c r="DB141">
        <v>0</v>
      </c>
      <c r="DC141">
        <v>5</v>
      </c>
      <c r="DD141">
        <v>9</v>
      </c>
      <c r="DE141">
        <v>0</v>
      </c>
      <c r="DF141">
        <v>3</v>
      </c>
      <c r="DG141">
        <v>1</v>
      </c>
      <c r="DH141">
        <v>1</v>
      </c>
      <c r="DI141">
        <v>1</v>
      </c>
      <c r="DJ141">
        <v>58</v>
      </c>
      <c r="DK141">
        <v>182</v>
      </c>
      <c r="DL141">
        <v>112</v>
      </c>
      <c r="DM141">
        <v>31</v>
      </c>
      <c r="DN141">
        <v>2</v>
      </c>
      <c r="DO141">
        <v>34</v>
      </c>
      <c r="DP141">
        <v>1</v>
      </c>
      <c r="DQ141">
        <v>0</v>
      </c>
      <c r="DR141">
        <v>0</v>
      </c>
      <c r="DS141">
        <v>0</v>
      </c>
      <c r="DT141">
        <v>0</v>
      </c>
      <c r="DU141">
        <v>2</v>
      </c>
      <c r="DV141">
        <v>182</v>
      </c>
      <c r="DW141">
        <v>16</v>
      </c>
      <c r="DX141">
        <v>8</v>
      </c>
      <c r="DY141">
        <v>0</v>
      </c>
      <c r="DZ141">
        <v>1</v>
      </c>
      <c r="EA141">
        <v>5</v>
      </c>
      <c r="EB141">
        <v>0</v>
      </c>
      <c r="EC141">
        <v>1</v>
      </c>
      <c r="ED141">
        <v>1</v>
      </c>
      <c r="EE141">
        <v>0</v>
      </c>
      <c r="EF141">
        <v>0</v>
      </c>
      <c r="EG141">
        <v>0</v>
      </c>
      <c r="EH141">
        <v>16</v>
      </c>
      <c r="EI141">
        <v>4</v>
      </c>
      <c r="EJ141">
        <v>0</v>
      </c>
      <c r="EK141">
        <v>2</v>
      </c>
      <c r="EL141">
        <v>0</v>
      </c>
      <c r="EM141">
        <v>0</v>
      </c>
      <c r="EN141">
        <v>0</v>
      </c>
      <c r="EO141">
        <v>0</v>
      </c>
      <c r="EP141">
        <v>1</v>
      </c>
      <c r="EQ141">
        <v>1</v>
      </c>
      <c r="ER141">
        <v>4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3</v>
      </c>
      <c r="FF141">
        <v>0</v>
      </c>
      <c r="FG141">
        <v>0</v>
      </c>
      <c r="FH141">
        <v>0</v>
      </c>
      <c r="FI141">
        <v>1</v>
      </c>
      <c r="FJ141">
        <v>0</v>
      </c>
      <c r="FK141">
        <v>0</v>
      </c>
      <c r="FL141">
        <v>1</v>
      </c>
      <c r="FM141">
        <v>0</v>
      </c>
      <c r="FN141">
        <v>0</v>
      </c>
      <c r="FO141">
        <v>1</v>
      </c>
      <c r="FP141">
        <v>3</v>
      </c>
    </row>
    <row r="142" spans="1:172" ht="14.25">
      <c r="A142">
        <v>137</v>
      </c>
      <c r="B142" t="str">
        <f t="shared" si="23"/>
        <v>101401</v>
      </c>
      <c r="C142" t="str">
        <f t="shared" si="24"/>
        <v>m. Sieradz</v>
      </c>
      <c r="D142" t="str">
        <f t="shared" si="25"/>
        <v>sieradzki</v>
      </c>
      <c r="E142" t="str">
        <f t="shared" si="22"/>
        <v>łódzkie</v>
      </c>
      <c r="F142">
        <v>8</v>
      </c>
      <c r="G142" t="str">
        <f>"Szkoła Podstawowa Nr 9 im. Władysława Łokietka, Władysława Łokietka 55, 98-200 Sieradz"</f>
        <v>Szkoła Podstawowa Nr 9 im. Władysława Łokietka, Władysława Łokietka 55, 98-200 Sieradz</v>
      </c>
      <c r="H142">
        <v>2156</v>
      </c>
      <c r="I142">
        <v>2156</v>
      </c>
      <c r="J142">
        <v>0</v>
      </c>
      <c r="K142">
        <v>1521</v>
      </c>
      <c r="L142">
        <v>1019</v>
      </c>
      <c r="M142">
        <v>502</v>
      </c>
      <c r="N142">
        <v>502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502</v>
      </c>
      <c r="Z142">
        <v>0</v>
      </c>
      <c r="AA142">
        <v>0</v>
      </c>
      <c r="AB142">
        <v>502</v>
      </c>
      <c r="AC142">
        <v>17</v>
      </c>
      <c r="AD142">
        <v>485</v>
      </c>
      <c r="AE142">
        <v>6</v>
      </c>
      <c r="AF142">
        <v>1</v>
      </c>
      <c r="AG142">
        <v>2</v>
      </c>
      <c r="AH142">
        <v>2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0</v>
      </c>
      <c r="AP142">
        <v>6</v>
      </c>
      <c r="AQ142">
        <v>6</v>
      </c>
      <c r="AR142">
        <v>3</v>
      </c>
      <c r="AS142">
        <v>1</v>
      </c>
      <c r="AT142">
        <v>1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1</v>
      </c>
      <c r="BB142">
        <v>6</v>
      </c>
      <c r="BC142">
        <v>71</v>
      </c>
      <c r="BD142">
        <v>19</v>
      </c>
      <c r="BE142">
        <v>5</v>
      </c>
      <c r="BF142">
        <v>35</v>
      </c>
      <c r="BG142">
        <v>0</v>
      </c>
      <c r="BH142">
        <v>1</v>
      </c>
      <c r="BI142">
        <v>0</v>
      </c>
      <c r="BJ142">
        <v>1</v>
      </c>
      <c r="BK142">
        <v>0</v>
      </c>
      <c r="BL142">
        <v>2</v>
      </c>
      <c r="BM142">
        <v>8</v>
      </c>
      <c r="BN142">
        <v>71</v>
      </c>
      <c r="BO142">
        <v>153</v>
      </c>
      <c r="BP142">
        <v>110</v>
      </c>
      <c r="BQ142">
        <v>12</v>
      </c>
      <c r="BR142">
        <v>9</v>
      </c>
      <c r="BS142">
        <v>11</v>
      </c>
      <c r="BT142">
        <v>4</v>
      </c>
      <c r="BU142">
        <v>0</v>
      </c>
      <c r="BV142">
        <v>4</v>
      </c>
      <c r="BW142">
        <v>0</v>
      </c>
      <c r="BX142">
        <v>0</v>
      </c>
      <c r="BY142">
        <v>3</v>
      </c>
      <c r="BZ142">
        <v>153</v>
      </c>
      <c r="CA142">
        <v>8</v>
      </c>
      <c r="CB142">
        <v>3</v>
      </c>
      <c r="CC142">
        <v>4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1</v>
      </c>
      <c r="CK142">
        <v>0</v>
      </c>
      <c r="CL142">
        <v>8</v>
      </c>
      <c r="CM142">
        <v>12</v>
      </c>
      <c r="CN142">
        <v>10</v>
      </c>
      <c r="CO142">
        <v>2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12</v>
      </c>
      <c r="CY142">
        <v>38</v>
      </c>
      <c r="CZ142">
        <v>21</v>
      </c>
      <c r="DA142">
        <v>3</v>
      </c>
      <c r="DB142">
        <v>1</v>
      </c>
      <c r="DC142">
        <v>2</v>
      </c>
      <c r="DD142">
        <v>7</v>
      </c>
      <c r="DE142">
        <v>0</v>
      </c>
      <c r="DF142">
        <v>0</v>
      </c>
      <c r="DG142">
        <v>2</v>
      </c>
      <c r="DH142">
        <v>1</v>
      </c>
      <c r="DI142">
        <v>1</v>
      </c>
      <c r="DJ142">
        <v>38</v>
      </c>
      <c r="DK142">
        <v>162</v>
      </c>
      <c r="DL142">
        <v>93</v>
      </c>
      <c r="DM142">
        <v>15</v>
      </c>
      <c r="DN142">
        <v>1</v>
      </c>
      <c r="DO142">
        <v>42</v>
      </c>
      <c r="DP142">
        <v>2</v>
      </c>
      <c r="DQ142">
        <v>1</v>
      </c>
      <c r="DR142">
        <v>0</v>
      </c>
      <c r="DS142">
        <v>1</v>
      </c>
      <c r="DT142">
        <v>0</v>
      </c>
      <c r="DU142">
        <v>7</v>
      </c>
      <c r="DV142">
        <v>162</v>
      </c>
      <c r="DW142">
        <v>22</v>
      </c>
      <c r="DX142">
        <v>9</v>
      </c>
      <c r="DY142">
        <v>4</v>
      </c>
      <c r="DZ142">
        <v>0</v>
      </c>
      <c r="EA142">
        <v>4</v>
      </c>
      <c r="EB142">
        <v>0</v>
      </c>
      <c r="EC142">
        <v>3</v>
      </c>
      <c r="ED142">
        <v>0</v>
      </c>
      <c r="EE142">
        <v>2</v>
      </c>
      <c r="EF142">
        <v>0</v>
      </c>
      <c r="EG142">
        <v>0</v>
      </c>
      <c r="EH142">
        <v>22</v>
      </c>
      <c r="EI142">
        <v>2</v>
      </c>
      <c r="EJ142">
        <v>0</v>
      </c>
      <c r="EK142">
        <v>2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2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5</v>
      </c>
      <c r="FF142">
        <v>1</v>
      </c>
      <c r="FG142">
        <v>1</v>
      </c>
      <c r="FH142">
        <v>0</v>
      </c>
      <c r="FI142">
        <v>1</v>
      </c>
      <c r="FJ142">
        <v>0</v>
      </c>
      <c r="FK142">
        <v>2</v>
      </c>
      <c r="FL142">
        <v>0</v>
      </c>
      <c r="FM142">
        <v>0</v>
      </c>
      <c r="FN142">
        <v>0</v>
      </c>
      <c r="FO142">
        <v>0</v>
      </c>
      <c r="FP142">
        <v>5</v>
      </c>
    </row>
    <row r="143" spans="1:172" ht="14.25">
      <c r="A143">
        <v>138</v>
      </c>
      <c r="B143" t="str">
        <f t="shared" si="23"/>
        <v>101401</v>
      </c>
      <c r="C143" t="str">
        <f t="shared" si="24"/>
        <v>m. Sieradz</v>
      </c>
      <c r="D143" t="str">
        <f t="shared" si="25"/>
        <v>sieradzki</v>
      </c>
      <c r="E143" t="str">
        <f t="shared" si="22"/>
        <v>łódzkie</v>
      </c>
      <c r="F143">
        <v>9</v>
      </c>
      <c r="G143" t="str">
        <f>"Szkoła Podstawowa Nr 10 im. Bolesława Zwolińskiego, Aleja Grunwaldzka 10, 98-200 Sieradz"</f>
        <v>Szkoła Podstawowa Nr 10 im. Bolesława Zwolińskiego, Aleja Grunwaldzka 10, 98-200 Sieradz</v>
      </c>
      <c r="H143">
        <v>1718</v>
      </c>
      <c r="I143">
        <v>1718</v>
      </c>
      <c r="J143">
        <v>0</v>
      </c>
      <c r="K143">
        <v>1220</v>
      </c>
      <c r="L143">
        <v>834</v>
      </c>
      <c r="M143">
        <v>386</v>
      </c>
      <c r="N143">
        <v>386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386</v>
      </c>
      <c r="Z143">
        <v>0</v>
      </c>
      <c r="AA143">
        <v>0</v>
      </c>
      <c r="AB143">
        <v>386</v>
      </c>
      <c r="AC143">
        <v>11</v>
      </c>
      <c r="AD143">
        <v>375</v>
      </c>
      <c r="AE143">
        <v>3</v>
      </c>
      <c r="AF143">
        <v>1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1</v>
      </c>
      <c r="AM143">
        <v>0</v>
      </c>
      <c r="AN143">
        <v>0</v>
      </c>
      <c r="AO143">
        <v>0</v>
      </c>
      <c r="AP143">
        <v>3</v>
      </c>
      <c r="AQ143">
        <v>1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1</v>
      </c>
      <c r="BC143">
        <v>52</v>
      </c>
      <c r="BD143">
        <v>10</v>
      </c>
      <c r="BE143">
        <v>4</v>
      </c>
      <c r="BF143">
        <v>34</v>
      </c>
      <c r="BG143">
        <v>0</v>
      </c>
      <c r="BH143">
        <v>0</v>
      </c>
      <c r="BI143">
        <v>1</v>
      </c>
      <c r="BJ143">
        <v>1</v>
      </c>
      <c r="BK143">
        <v>0</v>
      </c>
      <c r="BL143">
        <v>1</v>
      </c>
      <c r="BM143">
        <v>1</v>
      </c>
      <c r="BN143">
        <v>52</v>
      </c>
      <c r="BO143">
        <v>127</v>
      </c>
      <c r="BP143">
        <v>79</v>
      </c>
      <c r="BQ143">
        <v>13</v>
      </c>
      <c r="BR143">
        <v>7</v>
      </c>
      <c r="BS143">
        <v>19</v>
      </c>
      <c r="BT143">
        <v>0</v>
      </c>
      <c r="BU143">
        <v>0</v>
      </c>
      <c r="BV143">
        <v>3</v>
      </c>
      <c r="BW143">
        <v>0</v>
      </c>
      <c r="BX143">
        <v>2</v>
      </c>
      <c r="BY143">
        <v>4</v>
      </c>
      <c r="BZ143">
        <v>127</v>
      </c>
      <c r="CA143">
        <v>13</v>
      </c>
      <c r="CB143">
        <v>6</v>
      </c>
      <c r="CC143">
        <v>4</v>
      </c>
      <c r="CD143">
        <v>0</v>
      </c>
      <c r="CE143">
        <v>0</v>
      </c>
      <c r="CF143">
        <v>1</v>
      </c>
      <c r="CG143">
        <v>0</v>
      </c>
      <c r="CH143">
        <v>1</v>
      </c>
      <c r="CI143">
        <v>0</v>
      </c>
      <c r="CJ143">
        <v>0</v>
      </c>
      <c r="CK143">
        <v>1</v>
      </c>
      <c r="CL143">
        <v>13</v>
      </c>
      <c r="CM143">
        <v>5</v>
      </c>
      <c r="CN143">
        <v>3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1</v>
      </c>
      <c r="CW143">
        <v>0</v>
      </c>
      <c r="CX143">
        <v>5</v>
      </c>
      <c r="CY143">
        <v>37</v>
      </c>
      <c r="CZ143">
        <v>22</v>
      </c>
      <c r="DA143">
        <v>5</v>
      </c>
      <c r="DB143">
        <v>1</v>
      </c>
      <c r="DC143">
        <v>2</v>
      </c>
      <c r="DD143">
        <v>2</v>
      </c>
      <c r="DE143">
        <v>0</v>
      </c>
      <c r="DF143">
        <v>2</v>
      </c>
      <c r="DG143">
        <v>1</v>
      </c>
      <c r="DH143">
        <v>1</v>
      </c>
      <c r="DI143">
        <v>1</v>
      </c>
      <c r="DJ143">
        <v>37</v>
      </c>
      <c r="DK143">
        <v>125</v>
      </c>
      <c r="DL143">
        <v>64</v>
      </c>
      <c r="DM143">
        <v>8</v>
      </c>
      <c r="DN143">
        <v>1</v>
      </c>
      <c r="DO143">
        <v>45</v>
      </c>
      <c r="DP143">
        <v>1</v>
      </c>
      <c r="DQ143">
        <v>0</v>
      </c>
      <c r="DR143">
        <v>2</v>
      </c>
      <c r="DS143">
        <v>2</v>
      </c>
      <c r="DT143">
        <v>0</v>
      </c>
      <c r="DU143">
        <v>2</v>
      </c>
      <c r="DV143">
        <v>125</v>
      </c>
      <c r="DW143">
        <v>9</v>
      </c>
      <c r="DX143">
        <v>4</v>
      </c>
      <c r="DY143">
        <v>1</v>
      </c>
      <c r="DZ143">
        <v>1</v>
      </c>
      <c r="EA143">
        <v>1</v>
      </c>
      <c r="EB143">
        <v>0</v>
      </c>
      <c r="EC143">
        <v>1</v>
      </c>
      <c r="ED143">
        <v>1</v>
      </c>
      <c r="EE143">
        <v>0</v>
      </c>
      <c r="EF143">
        <v>0</v>
      </c>
      <c r="EG143">
        <v>0</v>
      </c>
      <c r="EH143">
        <v>9</v>
      </c>
      <c r="EI143">
        <v>1</v>
      </c>
      <c r="EJ143">
        <v>0</v>
      </c>
      <c r="EK143">
        <v>1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1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2</v>
      </c>
      <c r="FF143">
        <v>0</v>
      </c>
      <c r="FG143">
        <v>1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1</v>
      </c>
      <c r="FN143">
        <v>0</v>
      </c>
      <c r="FO143">
        <v>0</v>
      </c>
      <c r="FP143">
        <v>2</v>
      </c>
    </row>
    <row r="144" spans="1:172" ht="14.25">
      <c r="A144">
        <v>139</v>
      </c>
      <c r="B144" t="str">
        <f t="shared" si="23"/>
        <v>101401</v>
      </c>
      <c r="C144" t="str">
        <f t="shared" si="24"/>
        <v>m. Sieradz</v>
      </c>
      <c r="D144" t="str">
        <f t="shared" si="25"/>
        <v>sieradzki</v>
      </c>
      <c r="E144" t="str">
        <f t="shared" si="22"/>
        <v>łódzkie</v>
      </c>
      <c r="F144">
        <v>10</v>
      </c>
      <c r="G144" t="str">
        <f>"Dom Pomocy Społecznej, Armii Krajowej 34, 98-200 Sieradz"</f>
        <v>Dom Pomocy Społecznej, Armii Krajowej 34, 98-200 Sieradz</v>
      </c>
      <c r="H144">
        <v>1767</v>
      </c>
      <c r="I144">
        <v>1767</v>
      </c>
      <c r="J144">
        <v>0</v>
      </c>
      <c r="K144">
        <v>1221</v>
      </c>
      <c r="L144">
        <v>770</v>
      </c>
      <c r="M144">
        <v>451</v>
      </c>
      <c r="N144">
        <v>451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451</v>
      </c>
      <c r="Z144">
        <v>0</v>
      </c>
      <c r="AA144">
        <v>0</v>
      </c>
      <c r="AB144">
        <v>451</v>
      </c>
      <c r="AC144">
        <v>19</v>
      </c>
      <c r="AD144">
        <v>432</v>
      </c>
      <c r="AE144">
        <v>8</v>
      </c>
      <c r="AF144">
        <v>4</v>
      </c>
      <c r="AG144">
        <v>2</v>
      </c>
      <c r="AH144">
        <v>1</v>
      </c>
      <c r="AI144">
        <v>0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8</v>
      </c>
      <c r="AQ144">
        <v>20</v>
      </c>
      <c r="AR144">
        <v>10</v>
      </c>
      <c r="AS144">
        <v>2</v>
      </c>
      <c r="AT144">
        <v>0</v>
      </c>
      <c r="AU144">
        <v>1</v>
      </c>
      <c r="AV144">
        <v>2</v>
      </c>
      <c r="AW144">
        <v>1</v>
      </c>
      <c r="AX144">
        <v>1</v>
      </c>
      <c r="AY144">
        <v>2</v>
      </c>
      <c r="AZ144">
        <v>1</v>
      </c>
      <c r="BA144">
        <v>0</v>
      </c>
      <c r="BB144">
        <v>20</v>
      </c>
      <c r="BC144">
        <v>50</v>
      </c>
      <c r="BD144">
        <v>16</v>
      </c>
      <c r="BE144">
        <v>9</v>
      </c>
      <c r="BF144">
        <v>17</v>
      </c>
      <c r="BG144">
        <v>0</v>
      </c>
      <c r="BH144">
        <v>0</v>
      </c>
      <c r="BI144">
        <v>0</v>
      </c>
      <c r="BJ144">
        <v>0</v>
      </c>
      <c r="BK144">
        <v>1</v>
      </c>
      <c r="BL144">
        <v>0</v>
      </c>
      <c r="BM144">
        <v>7</v>
      </c>
      <c r="BN144">
        <v>50</v>
      </c>
      <c r="BO144">
        <v>104</v>
      </c>
      <c r="BP144">
        <v>67</v>
      </c>
      <c r="BQ144">
        <v>5</v>
      </c>
      <c r="BR144">
        <v>10</v>
      </c>
      <c r="BS144">
        <v>11</v>
      </c>
      <c r="BT144">
        <v>4</v>
      </c>
      <c r="BU144">
        <v>1</v>
      </c>
      <c r="BV144">
        <v>0</v>
      </c>
      <c r="BW144">
        <v>1</v>
      </c>
      <c r="BX144">
        <v>2</v>
      </c>
      <c r="BY144">
        <v>3</v>
      </c>
      <c r="BZ144">
        <v>104</v>
      </c>
      <c r="CA144">
        <v>6</v>
      </c>
      <c r="CB144">
        <v>2</v>
      </c>
      <c r="CC144">
        <v>2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1</v>
      </c>
      <c r="CK144">
        <v>1</v>
      </c>
      <c r="CL144">
        <v>6</v>
      </c>
      <c r="CM144">
        <v>13</v>
      </c>
      <c r="CN144">
        <v>10</v>
      </c>
      <c r="CO144">
        <v>1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1</v>
      </c>
      <c r="CV144">
        <v>0</v>
      </c>
      <c r="CW144">
        <v>1</v>
      </c>
      <c r="CX144">
        <v>13</v>
      </c>
      <c r="CY144">
        <v>33</v>
      </c>
      <c r="CZ144">
        <v>22</v>
      </c>
      <c r="DA144">
        <v>2</v>
      </c>
      <c r="DB144">
        <v>0</v>
      </c>
      <c r="DC144">
        <v>3</v>
      </c>
      <c r="DD144">
        <v>1</v>
      </c>
      <c r="DE144">
        <v>1</v>
      </c>
      <c r="DF144">
        <v>1</v>
      </c>
      <c r="DG144">
        <v>1</v>
      </c>
      <c r="DH144">
        <v>0</v>
      </c>
      <c r="DI144">
        <v>2</v>
      </c>
      <c r="DJ144">
        <v>33</v>
      </c>
      <c r="DK144">
        <v>175</v>
      </c>
      <c r="DL144">
        <v>103</v>
      </c>
      <c r="DM144">
        <v>16</v>
      </c>
      <c r="DN144">
        <v>2</v>
      </c>
      <c r="DO144">
        <v>48</v>
      </c>
      <c r="DP144">
        <v>0</v>
      </c>
      <c r="DQ144">
        <v>1</v>
      </c>
      <c r="DR144">
        <v>1</v>
      </c>
      <c r="DS144">
        <v>0</v>
      </c>
      <c r="DT144">
        <v>2</v>
      </c>
      <c r="DU144">
        <v>2</v>
      </c>
      <c r="DV144">
        <v>175</v>
      </c>
      <c r="DW144">
        <v>21</v>
      </c>
      <c r="DX144">
        <v>8</v>
      </c>
      <c r="DY144">
        <v>2</v>
      </c>
      <c r="DZ144">
        <v>0</v>
      </c>
      <c r="EA144">
        <v>2</v>
      </c>
      <c r="EB144">
        <v>1</v>
      </c>
      <c r="EC144">
        <v>6</v>
      </c>
      <c r="ED144">
        <v>1</v>
      </c>
      <c r="EE144">
        <v>0</v>
      </c>
      <c r="EF144">
        <v>0</v>
      </c>
      <c r="EG144">
        <v>1</v>
      </c>
      <c r="EH144">
        <v>21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1</v>
      </c>
      <c r="ET144">
        <v>0</v>
      </c>
      <c r="EU144">
        <v>1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1</v>
      </c>
      <c r="FE144">
        <v>1</v>
      </c>
      <c r="FF144">
        <v>0</v>
      </c>
      <c r="FG144">
        <v>1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1</v>
      </c>
    </row>
    <row r="145" spans="1:172" ht="14.25">
      <c r="A145">
        <v>140</v>
      </c>
      <c r="B145" t="str">
        <f t="shared" si="23"/>
        <v>101401</v>
      </c>
      <c r="C145" t="str">
        <f t="shared" si="24"/>
        <v>m. Sieradz</v>
      </c>
      <c r="D145" t="str">
        <f t="shared" si="25"/>
        <v>sieradzki</v>
      </c>
      <c r="E145" t="str">
        <f t="shared" si="22"/>
        <v>łódzkie</v>
      </c>
      <c r="F145">
        <v>11</v>
      </c>
      <c r="G145" t="str">
        <f>"Przedszkole Nr 15, Stacheckiego-Koliby 3, 98-200 Sieradz"</f>
        <v>Przedszkole Nr 15, Stacheckiego-Koliby 3, 98-200 Sieradz</v>
      </c>
      <c r="H145">
        <v>1899</v>
      </c>
      <c r="I145">
        <v>1899</v>
      </c>
      <c r="J145">
        <v>0</v>
      </c>
      <c r="K145">
        <v>1341</v>
      </c>
      <c r="L145">
        <v>882</v>
      </c>
      <c r="M145">
        <v>459</v>
      </c>
      <c r="N145">
        <v>459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459</v>
      </c>
      <c r="Z145">
        <v>0</v>
      </c>
      <c r="AA145">
        <v>0</v>
      </c>
      <c r="AB145">
        <v>459</v>
      </c>
      <c r="AC145">
        <v>11</v>
      </c>
      <c r="AD145">
        <v>448</v>
      </c>
      <c r="AE145">
        <v>12</v>
      </c>
      <c r="AF145">
        <v>7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2</v>
      </c>
      <c r="AO145">
        <v>2</v>
      </c>
      <c r="AP145">
        <v>12</v>
      </c>
      <c r="AQ145">
        <v>10</v>
      </c>
      <c r="AR145">
        <v>2</v>
      </c>
      <c r="AS145">
        <v>2</v>
      </c>
      <c r="AT145">
        <v>0</v>
      </c>
      <c r="AU145">
        <v>0</v>
      </c>
      <c r="AV145">
        <v>0</v>
      </c>
      <c r="AW145">
        <v>2</v>
      </c>
      <c r="AX145">
        <v>3</v>
      </c>
      <c r="AY145">
        <v>0</v>
      </c>
      <c r="AZ145">
        <v>0</v>
      </c>
      <c r="BA145">
        <v>1</v>
      </c>
      <c r="BB145">
        <v>10</v>
      </c>
      <c r="BC145">
        <v>47</v>
      </c>
      <c r="BD145">
        <v>4</v>
      </c>
      <c r="BE145">
        <v>4</v>
      </c>
      <c r="BF145">
        <v>29</v>
      </c>
      <c r="BG145">
        <v>1</v>
      </c>
      <c r="BH145">
        <v>2</v>
      </c>
      <c r="BI145">
        <v>2</v>
      </c>
      <c r="BJ145">
        <v>1</v>
      </c>
      <c r="BK145">
        <v>3</v>
      </c>
      <c r="BL145">
        <v>1</v>
      </c>
      <c r="BM145">
        <v>0</v>
      </c>
      <c r="BN145">
        <v>47</v>
      </c>
      <c r="BO145">
        <v>159</v>
      </c>
      <c r="BP145">
        <v>101</v>
      </c>
      <c r="BQ145">
        <v>17</v>
      </c>
      <c r="BR145">
        <v>10</v>
      </c>
      <c r="BS145">
        <v>24</v>
      </c>
      <c r="BT145">
        <v>1</v>
      </c>
      <c r="BU145">
        <v>0</v>
      </c>
      <c r="BV145">
        <v>0</v>
      </c>
      <c r="BW145">
        <v>2</v>
      </c>
      <c r="BX145">
        <v>0</v>
      </c>
      <c r="BY145">
        <v>4</v>
      </c>
      <c r="BZ145">
        <v>159</v>
      </c>
      <c r="CA145">
        <v>9</v>
      </c>
      <c r="CB145">
        <v>4</v>
      </c>
      <c r="CC145">
        <v>0</v>
      </c>
      <c r="CD145">
        <v>0</v>
      </c>
      <c r="CE145">
        <v>0</v>
      </c>
      <c r="CF145">
        <v>1</v>
      </c>
      <c r="CG145">
        <v>0</v>
      </c>
      <c r="CH145">
        <v>0</v>
      </c>
      <c r="CI145">
        <v>2</v>
      </c>
      <c r="CJ145">
        <v>0</v>
      </c>
      <c r="CK145">
        <v>2</v>
      </c>
      <c r="CL145">
        <v>9</v>
      </c>
      <c r="CM145">
        <v>13</v>
      </c>
      <c r="CN145">
        <v>8</v>
      </c>
      <c r="CO145">
        <v>2</v>
      </c>
      <c r="CP145">
        <v>0</v>
      </c>
      <c r="CQ145">
        <v>1</v>
      </c>
      <c r="CR145">
        <v>1</v>
      </c>
      <c r="CS145">
        <v>1</v>
      </c>
      <c r="CT145">
        <v>0</v>
      </c>
      <c r="CU145">
        <v>0</v>
      </c>
      <c r="CV145">
        <v>0</v>
      </c>
      <c r="CW145">
        <v>0</v>
      </c>
      <c r="CX145">
        <v>13</v>
      </c>
      <c r="CY145">
        <v>25</v>
      </c>
      <c r="CZ145">
        <v>12</v>
      </c>
      <c r="DA145">
        <v>3</v>
      </c>
      <c r="DB145">
        <v>0</v>
      </c>
      <c r="DC145">
        <v>0</v>
      </c>
      <c r="DD145">
        <v>5</v>
      </c>
      <c r="DE145">
        <v>0</v>
      </c>
      <c r="DF145">
        <v>0</v>
      </c>
      <c r="DG145">
        <v>2</v>
      </c>
      <c r="DH145">
        <v>2</v>
      </c>
      <c r="DI145">
        <v>1</v>
      </c>
      <c r="DJ145">
        <v>25</v>
      </c>
      <c r="DK145">
        <v>146</v>
      </c>
      <c r="DL145">
        <v>75</v>
      </c>
      <c r="DM145">
        <v>17</v>
      </c>
      <c r="DN145">
        <v>0</v>
      </c>
      <c r="DO145">
        <v>44</v>
      </c>
      <c r="DP145">
        <v>1</v>
      </c>
      <c r="DQ145">
        <v>0</v>
      </c>
      <c r="DR145">
        <v>2</v>
      </c>
      <c r="DS145">
        <v>2</v>
      </c>
      <c r="DT145">
        <v>2</v>
      </c>
      <c r="DU145">
        <v>3</v>
      </c>
      <c r="DV145">
        <v>146</v>
      </c>
      <c r="DW145">
        <v>20</v>
      </c>
      <c r="DX145">
        <v>4</v>
      </c>
      <c r="DY145">
        <v>2</v>
      </c>
      <c r="DZ145">
        <v>1</v>
      </c>
      <c r="EA145">
        <v>2</v>
      </c>
      <c r="EB145">
        <v>0</v>
      </c>
      <c r="EC145">
        <v>9</v>
      </c>
      <c r="ED145">
        <v>0</v>
      </c>
      <c r="EE145">
        <v>0</v>
      </c>
      <c r="EF145">
        <v>0</v>
      </c>
      <c r="EG145">
        <v>2</v>
      </c>
      <c r="EH145">
        <v>20</v>
      </c>
      <c r="EI145">
        <v>3</v>
      </c>
      <c r="EJ145">
        <v>0</v>
      </c>
      <c r="EK145">
        <v>3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3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4</v>
      </c>
      <c r="FF145">
        <v>1</v>
      </c>
      <c r="FG145">
        <v>0</v>
      </c>
      <c r="FH145">
        <v>0</v>
      </c>
      <c r="FI145">
        <v>1</v>
      </c>
      <c r="FJ145">
        <v>0</v>
      </c>
      <c r="FK145">
        <v>0</v>
      </c>
      <c r="FL145">
        <v>1</v>
      </c>
      <c r="FM145">
        <v>0</v>
      </c>
      <c r="FN145">
        <v>0</v>
      </c>
      <c r="FO145">
        <v>1</v>
      </c>
      <c r="FP145">
        <v>4</v>
      </c>
    </row>
    <row r="146" spans="1:172" ht="14.25">
      <c r="A146">
        <v>141</v>
      </c>
      <c r="B146" t="str">
        <f t="shared" si="23"/>
        <v>101401</v>
      </c>
      <c r="C146" t="str">
        <f t="shared" si="24"/>
        <v>m. Sieradz</v>
      </c>
      <c r="D146" t="str">
        <f t="shared" si="25"/>
        <v>sieradzki</v>
      </c>
      <c r="E146" t="str">
        <f t="shared" si="22"/>
        <v>łódzkie</v>
      </c>
      <c r="F146">
        <v>12</v>
      </c>
      <c r="G146" t="str">
        <f>"Przedszkole Nr 15, Stacheckiego-Koliby 3, 98-200 Sieradz"</f>
        <v>Przedszkole Nr 15, Stacheckiego-Koliby 3, 98-200 Sieradz</v>
      </c>
      <c r="H146">
        <v>1842</v>
      </c>
      <c r="I146">
        <v>1842</v>
      </c>
      <c r="J146">
        <v>0</v>
      </c>
      <c r="K146">
        <v>1300</v>
      </c>
      <c r="L146">
        <v>856</v>
      </c>
      <c r="M146">
        <v>444</v>
      </c>
      <c r="N146">
        <v>444</v>
      </c>
      <c r="O146">
        <v>0</v>
      </c>
      <c r="P146">
        <v>0</v>
      </c>
      <c r="Q146">
        <v>1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444</v>
      </c>
      <c r="Z146">
        <v>0</v>
      </c>
      <c r="AA146">
        <v>0</v>
      </c>
      <c r="AB146">
        <v>444</v>
      </c>
      <c r="AC146">
        <v>6</v>
      </c>
      <c r="AD146">
        <v>438</v>
      </c>
      <c r="AE146">
        <v>2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1</v>
      </c>
      <c r="AP146">
        <v>2</v>
      </c>
      <c r="AQ146">
        <v>14</v>
      </c>
      <c r="AR146">
        <v>9</v>
      </c>
      <c r="AS146">
        <v>1</v>
      </c>
      <c r="AT146">
        <v>0</v>
      </c>
      <c r="AU146">
        <v>1</v>
      </c>
      <c r="AV146">
        <v>0</v>
      </c>
      <c r="AW146">
        <v>0</v>
      </c>
      <c r="AX146">
        <v>1</v>
      </c>
      <c r="AY146">
        <v>0</v>
      </c>
      <c r="AZ146">
        <v>1</v>
      </c>
      <c r="BA146">
        <v>1</v>
      </c>
      <c r="BB146">
        <v>14</v>
      </c>
      <c r="BC146">
        <v>43</v>
      </c>
      <c r="BD146">
        <v>15</v>
      </c>
      <c r="BE146">
        <v>2</v>
      </c>
      <c r="BF146">
        <v>17</v>
      </c>
      <c r="BG146">
        <v>0</v>
      </c>
      <c r="BH146">
        <v>1</v>
      </c>
      <c r="BI146">
        <v>1</v>
      </c>
      <c r="BJ146">
        <v>0</v>
      </c>
      <c r="BK146">
        <v>0</v>
      </c>
      <c r="BL146">
        <v>1</v>
      </c>
      <c r="BM146">
        <v>6</v>
      </c>
      <c r="BN146">
        <v>43</v>
      </c>
      <c r="BO146">
        <v>147</v>
      </c>
      <c r="BP146">
        <v>97</v>
      </c>
      <c r="BQ146">
        <v>9</v>
      </c>
      <c r="BR146">
        <v>13</v>
      </c>
      <c r="BS146">
        <v>20</v>
      </c>
      <c r="BT146">
        <v>0</v>
      </c>
      <c r="BU146">
        <v>0</v>
      </c>
      <c r="BV146">
        <v>4</v>
      </c>
      <c r="BW146">
        <v>2</v>
      </c>
      <c r="BX146">
        <v>0</v>
      </c>
      <c r="BY146">
        <v>2</v>
      </c>
      <c r="BZ146">
        <v>147</v>
      </c>
      <c r="CA146">
        <v>18</v>
      </c>
      <c r="CB146">
        <v>7</v>
      </c>
      <c r="CC146">
        <v>4</v>
      </c>
      <c r="CD146">
        <v>0</v>
      </c>
      <c r="CE146">
        <v>1</v>
      </c>
      <c r="CF146">
        <v>0</v>
      </c>
      <c r="CG146">
        <v>0</v>
      </c>
      <c r="CH146">
        <v>0</v>
      </c>
      <c r="CI146">
        <v>4</v>
      </c>
      <c r="CJ146">
        <v>0</v>
      </c>
      <c r="CK146">
        <v>2</v>
      </c>
      <c r="CL146">
        <v>18</v>
      </c>
      <c r="CM146">
        <v>16</v>
      </c>
      <c r="CN146">
        <v>14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1</v>
      </c>
      <c r="CX146">
        <v>16</v>
      </c>
      <c r="CY146">
        <v>36</v>
      </c>
      <c r="CZ146">
        <v>23</v>
      </c>
      <c r="DA146">
        <v>4</v>
      </c>
      <c r="DB146">
        <v>1</v>
      </c>
      <c r="DC146">
        <v>2</v>
      </c>
      <c r="DD146">
        <v>3</v>
      </c>
      <c r="DE146">
        <v>0</v>
      </c>
      <c r="DF146">
        <v>0</v>
      </c>
      <c r="DG146">
        <v>0</v>
      </c>
      <c r="DH146">
        <v>2</v>
      </c>
      <c r="DI146">
        <v>1</v>
      </c>
      <c r="DJ146">
        <v>36</v>
      </c>
      <c r="DK146">
        <v>135</v>
      </c>
      <c r="DL146">
        <v>73</v>
      </c>
      <c r="DM146">
        <v>14</v>
      </c>
      <c r="DN146">
        <v>1</v>
      </c>
      <c r="DO146">
        <v>39</v>
      </c>
      <c r="DP146">
        <v>0</v>
      </c>
      <c r="DQ146">
        <v>3</v>
      </c>
      <c r="DR146">
        <v>0</v>
      </c>
      <c r="DS146">
        <v>3</v>
      </c>
      <c r="DT146">
        <v>2</v>
      </c>
      <c r="DU146">
        <v>0</v>
      </c>
      <c r="DV146">
        <v>135</v>
      </c>
      <c r="DW146">
        <v>12</v>
      </c>
      <c r="DX146">
        <v>0</v>
      </c>
      <c r="DY146">
        <v>3</v>
      </c>
      <c r="DZ146">
        <v>0</v>
      </c>
      <c r="EA146">
        <v>4</v>
      </c>
      <c r="EB146">
        <v>0</v>
      </c>
      <c r="EC146">
        <v>4</v>
      </c>
      <c r="ED146">
        <v>0</v>
      </c>
      <c r="EE146">
        <v>0</v>
      </c>
      <c r="EF146">
        <v>1</v>
      </c>
      <c r="EG146">
        <v>0</v>
      </c>
      <c r="EH146">
        <v>12</v>
      </c>
      <c r="EI146">
        <v>6</v>
      </c>
      <c r="EJ146">
        <v>1</v>
      </c>
      <c r="EK146">
        <v>4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1</v>
      </c>
      <c r="ER146">
        <v>6</v>
      </c>
      <c r="ES146">
        <v>3</v>
      </c>
      <c r="ET146">
        <v>0</v>
      </c>
      <c r="EU146">
        <v>0</v>
      </c>
      <c r="EV146">
        <v>2</v>
      </c>
      <c r="EW146">
        <v>0</v>
      </c>
      <c r="EX146">
        <v>1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3</v>
      </c>
      <c r="FE146">
        <v>6</v>
      </c>
      <c r="FF146">
        <v>0</v>
      </c>
      <c r="FG146">
        <v>2</v>
      </c>
      <c r="FH146">
        <v>0</v>
      </c>
      <c r="FI146">
        <v>0</v>
      </c>
      <c r="FJ146">
        <v>0</v>
      </c>
      <c r="FK146">
        <v>1</v>
      </c>
      <c r="FL146">
        <v>0</v>
      </c>
      <c r="FM146">
        <v>0</v>
      </c>
      <c r="FN146">
        <v>0</v>
      </c>
      <c r="FO146">
        <v>3</v>
      </c>
      <c r="FP146">
        <v>6</v>
      </c>
    </row>
    <row r="147" spans="1:172" ht="14.25">
      <c r="A147">
        <v>142</v>
      </c>
      <c r="B147" t="str">
        <f t="shared" si="23"/>
        <v>101401</v>
      </c>
      <c r="C147" t="str">
        <f t="shared" si="24"/>
        <v>m. Sieradz</v>
      </c>
      <c r="D147" t="str">
        <f t="shared" si="25"/>
        <v>sieradzki</v>
      </c>
      <c r="E147" t="str">
        <f t="shared" si="22"/>
        <v>łódzkie</v>
      </c>
      <c r="F147">
        <v>13</v>
      </c>
      <c r="G147" t="str">
        <f>"Komenda Powiatowa Państwowej Straży Pożarnej w Sieradzu, T. Grzesika i R. Piwnika 1, 98-200 Sieradz"</f>
        <v>Komenda Powiatowa Państwowej Straży Pożarnej w Sieradzu, T. Grzesika i R. Piwnika 1, 98-200 Sieradz</v>
      </c>
      <c r="H147">
        <v>1120</v>
      </c>
      <c r="I147">
        <v>1120</v>
      </c>
      <c r="J147">
        <v>0</v>
      </c>
      <c r="K147">
        <v>789</v>
      </c>
      <c r="L147">
        <v>487</v>
      </c>
      <c r="M147">
        <v>302</v>
      </c>
      <c r="N147">
        <v>302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302</v>
      </c>
      <c r="Z147">
        <v>0</v>
      </c>
      <c r="AA147">
        <v>0</v>
      </c>
      <c r="AB147">
        <v>302</v>
      </c>
      <c r="AC147">
        <v>7</v>
      </c>
      <c r="AD147">
        <v>295</v>
      </c>
      <c r="AE147">
        <v>3</v>
      </c>
      <c r="AF147">
        <v>0</v>
      </c>
      <c r="AG147">
        <v>2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3</v>
      </c>
      <c r="AQ147">
        <v>1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1</v>
      </c>
      <c r="BC147">
        <v>30</v>
      </c>
      <c r="BD147">
        <v>14</v>
      </c>
      <c r="BE147">
        <v>1</v>
      </c>
      <c r="BF147">
        <v>10</v>
      </c>
      <c r="BG147">
        <v>0</v>
      </c>
      <c r="BH147">
        <v>0</v>
      </c>
      <c r="BI147">
        <v>2</v>
      </c>
      <c r="BJ147">
        <v>0</v>
      </c>
      <c r="BK147">
        <v>0</v>
      </c>
      <c r="BL147">
        <v>0</v>
      </c>
      <c r="BM147">
        <v>3</v>
      </c>
      <c r="BN147">
        <v>30</v>
      </c>
      <c r="BO147">
        <v>87</v>
      </c>
      <c r="BP147">
        <v>69</v>
      </c>
      <c r="BQ147">
        <v>4</v>
      </c>
      <c r="BR147">
        <v>3</v>
      </c>
      <c r="BS147">
        <v>8</v>
      </c>
      <c r="BT147">
        <v>0</v>
      </c>
      <c r="BU147">
        <v>0</v>
      </c>
      <c r="BV147">
        <v>3</v>
      </c>
      <c r="BW147">
        <v>0</v>
      </c>
      <c r="BX147">
        <v>0</v>
      </c>
      <c r="BY147">
        <v>0</v>
      </c>
      <c r="BZ147">
        <v>87</v>
      </c>
      <c r="CA147">
        <v>6</v>
      </c>
      <c r="CB147">
        <v>1</v>
      </c>
      <c r="CC147">
        <v>2</v>
      </c>
      <c r="CD147">
        <v>1</v>
      </c>
      <c r="CE147">
        <v>0</v>
      </c>
      <c r="CF147">
        <v>0</v>
      </c>
      <c r="CG147">
        <v>0</v>
      </c>
      <c r="CH147">
        <v>2</v>
      </c>
      <c r="CI147">
        <v>0</v>
      </c>
      <c r="CJ147">
        <v>0</v>
      </c>
      <c r="CK147">
        <v>0</v>
      </c>
      <c r="CL147">
        <v>6</v>
      </c>
      <c r="CM147">
        <v>10</v>
      </c>
      <c r="CN147">
        <v>3</v>
      </c>
      <c r="CO147">
        <v>5</v>
      </c>
      <c r="CP147">
        <v>0</v>
      </c>
      <c r="CQ147">
        <v>0</v>
      </c>
      <c r="CR147">
        <v>0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10</v>
      </c>
      <c r="CY147">
        <v>41</v>
      </c>
      <c r="CZ147">
        <v>23</v>
      </c>
      <c r="DA147">
        <v>4</v>
      </c>
      <c r="DB147">
        <v>2</v>
      </c>
      <c r="DC147">
        <v>1</v>
      </c>
      <c r="DD147">
        <v>5</v>
      </c>
      <c r="DE147">
        <v>3</v>
      </c>
      <c r="DF147">
        <v>0</v>
      </c>
      <c r="DG147">
        <v>2</v>
      </c>
      <c r="DH147">
        <v>0</v>
      </c>
      <c r="DI147">
        <v>1</v>
      </c>
      <c r="DJ147">
        <v>41</v>
      </c>
      <c r="DK147">
        <v>107</v>
      </c>
      <c r="DL147">
        <v>62</v>
      </c>
      <c r="DM147">
        <v>8</v>
      </c>
      <c r="DN147">
        <v>0</v>
      </c>
      <c r="DO147">
        <v>36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1</v>
      </c>
      <c r="DV147">
        <v>107</v>
      </c>
      <c r="DW147">
        <v>7</v>
      </c>
      <c r="DX147">
        <v>3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2</v>
      </c>
      <c r="EE147">
        <v>0</v>
      </c>
      <c r="EF147">
        <v>2</v>
      </c>
      <c r="EG147">
        <v>0</v>
      </c>
      <c r="EH147">
        <v>7</v>
      </c>
      <c r="EI147">
        <v>1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</v>
      </c>
      <c r="EP147">
        <v>0</v>
      </c>
      <c r="EQ147">
        <v>0</v>
      </c>
      <c r="ER147">
        <v>1</v>
      </c>
      <c r="ES147">
        <v>1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1</v>
      </c>
      <c r="FD147">
        <v>1</v>
      </c>
      <c r="FE147">
        <v>1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1</v>
      </c>
      <c r="FO147">
        <v>0</v>
      </c>
      <c r="FP147">
        <v>1</v>
      </c>
    </row>
    <row r="148" spans="1:172" ht="14.25">
      <c r="A148">
        <v>143</v>
      </c>
      <c r="B148" t="str">
        <f t="shared" si="23"/>
        <v>101401</v>
      </c>
      <c r="C148" t="str">
        <f t="shared" si="24"/>
        <v>m. Sieradz</v>
      </c>
      <c r="D148" t="str">
        <f t="shared" si="25"/>
        <v>sieradzki</v>
      </c>
      <c r="E148" t="str">
        <f t="shared" si="22"/>
        <v>łódzkie</v>
      </c>
      <c r="F148">
        <v>14</v>
      </c>
      <c r="G148" t="str">
        <f>"Zespół Szkół Katolickich przy parafii Św. Urszuli Ledóchowskiej w Sieradzu, Krakowskie Przedmieście 123a, 98-200 Sieradz"</f>
        <v>Zespół Szkół Katolickich przy parafii Św. Urszuli Ledóchowskiej w Sieradzu, Krakowskie Przedmieście 123a, 98-200 Sieradz</v>
      </c>
      <c r="H148">
        <v>676</v>
      </c>
      <c r="I148">
        <v>676</v>
      </c>
      <c r="J148">
        <v>0</v>
      </c>
      <c r="K148">
        <v>470</v>
      </c>
      <c r="L148">
        <v>349</v>
      </c>
      <c r="M148">
        <v>121</v>
      </c>
      <c r="N148">
        <v>121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121</v>
      </c>
      <c r="Z148">
        <v>0</v>
      </c>
      <c r="AA148">
        <v>0</v>
      </c>
      <c r="AB148">
        <v>121</v>
      </c>
      <c r="AC148">
        <v>3</v>
      </c>
      <c r="AD148">
        <v>118</v>
      </c>
      <c r="AE148">
        <v>3</v>
      </c>
      <c r="AF148">
        <v>1</v>
      </c>
      <c r="AG148">
        <v>0</v>
      </c>
      <c r="AH148">
        <v>2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3</v>
      </c>
      <c r="AQ148">
        <v>1</v>
      </c>
      <c r="AR148">
        <v>1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1</v>
      </c>
      <c r="BC148">
        <v>12</v>
      </c>
      <c r="BD148">
        <v>1</v>
      </c>
      <c r="BE148">
        <v>0</v>
      </c>
      <c r="BF148">
        <v>10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1</v>
      </c>
      <c r="BN148">
        <v>12</v>
      </c>
      <c r="BO148">
        <v>58</v>
      </c>
      <c r="BP148">
        <v>37</v>
      </c>
      <c r="BQ148">
        <v>2</v>
      </c>
      <c r="BR148">
        <v>0</v>
      </c>
      <c r="BS148">
        <v>14</v>
      </c>
      <c r="BT148">
        <v>0</v>
      </c>
      <c r="BU148">
        <v>1</v>
      </c>
      <c r="BV148">
        <v>0</v>
      </c>
      <c r="BW148">
        <v>1</v>
      </c>
      <c r="BX148">
        <v>2</v>
      </c>
      <c r="BY148">
        <v>1</v>
      </c>
      <c r="BZ148">
        <v>58</v>
      </c>
      <c r="CA148">
        <v>1</v>
      </c>
      <c r="CB148">
        <v>1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1</v>
      </c>
      <c r="CM148">
        <v>2</v>
      </c>
      <c r="CN148">
        <v>0</v>
      </c>
      <c r="CO148">
        <v>1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1</v>
      </c>
      <c r="CW148">
        <v>0</v>
      </c>
      <c r="CX148">
        <v>2</v>
      </c>
      <c r="CY148">
        <v>14</v>
      </c>
      <c r="CZ148">
        <v>7</v>
      </c>
      <c r="DA148">
        <v>2</v>
      </c>
      <c r="DB148">
        <v>0</v>
      </c>
      <c r="DC148">
        <v>0</v>
      </c>
      <c r="DD148">
        <v>5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14</v>
      </c>
      <c r="DK148">
        <v>24</v>
      </c>
      <c r="DL148">
        <v>7</v>
      </c>
      <c r="DM148">
        <v>7</v>
      </c>
      <c r="DN148">
        <v>1</v>
      </c>
      <c r="DO148">
        <v>6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3</v>
      </c>
      <c r="DV148">
        <v>24</v>
      </c>
      <c r="DW148">
        <v>3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3</v>
      </c>
      <c r="ED148">
        <v>0</v>
      </c>
      <c r="EE148">
        <v>0</v>
      </c>
      <c r="EF148">
        <v>0</v>
      </c>
      <c r="EG148">
        <v>0</v>
      </c>
      <c r="EH148">
        <v>3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</row>
    <row r="149" spans="1:172" ht="14.25">
      <c r="A149">
        <v>144</v>
      </c>
      <c r="B149" t="str">
        <f t="shared" si="23"/>
        <v>101401</v>
      </c>
      <c r="C149" t="str">
        <f t="shared" si="24"/>
        <v>m. Sieradz</v>
      </c>
      <c r="D149" t="str">
        <f t="shared" si="25"/>
        <v>sieradzki</v>
      </c>
      <c r="E149" t="str">
        <f t="shared" si="22"/>
        <v>łódzkie</v>
      </c>
      <c r="F149">
        <v>15</v>
      </c>
      <c r="G149" t="str">
        <f>"Gimnazjum Nr 3 im. Unii Europejskiej, Broniewskiego 30, 98-200 Sieradz"</f>
        <v>Gimnazjum Nr 3 im. Unii Europejskiej, Broniewskiego 30, 98-200 Sieradz</v>
      </c>
      <c r="H149">
        <v>1202</v>
      </c>
      <c r="I149">
        <v>1202</v>
      </c>
      <c r="J149">
        <v>0</v>
      </c>
      <c r="K149">
        <v>841</v>
      </c>
      <c r="L149">
        <v>477</v>
      </c>
      <c r="M149">
        <v>364</v>
      </c>
      <c r="N149">
        <v>364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364</v>
      </c>
      <c r="Z149">
        <v>0</v>
      </c>
      <c r="AA149">
        <v>0</v>
      </c>
      <c r="AB149">
        <v>364</v>
      </c>
      <c r="AC149">
        <v>19</v>
      </c>
      <c r="AD149">
        <v>345</v>
      </c>
      <c r="AE149">
        <v>4</v>
      </c>
      <c r="AF149">
        <v>2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4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43</v>
      </c>
      <c r="BD149">
        <v>12</v>
      </c>
      <c r="BE149">
        <v>2</v>
      </c>
      <c r="BF149">
        <v>21</v>
      </c>
      <c r="BG149">
        <v>2</v>
      </c>
      <c r="BH149">
        <v>0</v>
      </c>
      <c r="BI149">
        <v>1</v>
      </c>
      <c r="BJ149">
        <v>0</v>
      </c>
      <c r="BK149">
        <v>0</v>
      </c>
      <c r="BL149">
        <v>0</v>
      </c>
      <c r="BM149">
        <v>5</v>
      </c>
      <c r="BN149">
        <v>43</v>
      </c>
      <c r="BO149">
        <v>139</v>
      </c>
      <c r="BP149">
        <v>95</v>
      </c>
      <c r="BQ149">
        <v>13</v>
      </c>
      <c r="BR149">
        <v>10</v>
      </c>
      <c r="BS149">
        <v>11</v>
      </c>
      <c r="BT149">
        <v>2</v>
      </c>
      <c r="BU149">
        <v>0</v>
      </c>
      <c r="BV149">
        <v>4</v>
      </c>
      <c r="BW149">
        <v>1</v>
      </c>
      <c r="BX149">
        <v>3</v>
      </c>
      <c r="BY149">
        <v>0</v>
      </c>
      <c r="BZ149">
        <v>139</v>
      </c>
      <c r="CA149">
        <v>16</v>
      </c>
      <c r="CB149">
        <v>4</v>
      </c>
      <c r="CC149">
        <v>2</v>
      </c>
      <c r="CD149">
        <v>0</v>
      </c>
      <c r="CE149">
        <v>3</v>
      </c>
      <c r="CF149">
        <v>1</v>
      </c>
      <c r="CG149">
        <v>1</v>
      </c>
      <c r="CH149">
        <v>0</v>
      </c>
      <c r="CI149">
        <v>0</v>
      </c>
      <c r="CJ149">
        <v>0</v>
      </c>
      <c r="CK149">
        <v>5</v>
      </c>
      <c r="CL149">
        <v>16</v>
      </c>
      <c r="CM149">
        <v>1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1</v>
      </c>
      <c r="CY149">
        <v>15</v>
      </c>
      <c r="CZ149">
        <v>5</v>
      </c>
      <c r="DA149">
        <v>4</v>
      </c>
      <c r="DB149">
        <v>0</v>
      </c>
      <c r="DC149">
        <v>0</v>
      </c>
      <c r="DD149">
        <v>3</v>
      </c>
      <c r="DE149">
        <v>0</v>
      </c>
      <c r="DF149">
        <v>1</v>
      </c>
      <c r="DG149">
        <v>2</v>
      </c>
      <c r="DH149">
        <v>0</v>
      </c>
      <c r="DI149">
        <v>0</v>
      </c>
      <c r="DJ149">
        <v>15</v>
      </c>
      <c r="DK149">
        <v>110</v>
      </c>
      <c r="DL149">
        <v>69</v>
      </c>
      <c r="DM149">
        <v>14</v>
      </c>
      <c r="DN149">
        <v>0</v>
      </c>
      <c r="DO149">
        <v>22</v>
      </c>
      <c r="DP149">
        <v>1</v>
      </c>
      <c r="DQ149">
        <v>1</v>
      </c>
      <c r="DR149">
        <v>0</v>
      </c>
      <c r="DS149">
        <v>1</v>
      </c>
      <c r="DT149">
        <v>2</v>
      </c>
      <c r="DU149">
        <v>0</v>
      </c>
      <c r="DV149">
        <v>110</v>
      </c>
      <c r="DW149">
        <v>10</v>
      </c>
      <c r="DX149">
        <v>5</v>
      </c>
      <c r="DY149">
        <v>2</v>
      </c>
      <c r="DZ149">
        <v>0</v>
      </c>
      <c r="EA149">
        <v>2</v>
      </c>
      <c r="EB149">
        <v>0</v>
      </c>
      <c r="EC149">
        <v>0</v>
      </c>
      <c r="ED149">
        <v>0</v>
      </c>
      <c r="EE149">
        <v>0</v>
      </c>
      <c r="EF149">
        <v>1</v>
      </c>
      <c r="EG149">
        <v>0</v>
      </c>
      <c r="EH149">
        <v>10</v>
      </c>
      <c r="EI149">
        <v>5</v>
      </c>
      <c r="EJ149">
        <v>0</v>
      </c>
      <c r="EK149">
        <v>5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5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2</v>
      </c>
      <c r="FF149">
        <v>0</v>
      </c>
      <c r="FG149">
        <v>1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1</v>
      </c>
      <c r="FN149">
        <v>0</v>
      </c>
      <c r="FO149">
        <v>0</v>
      </c>
      <c r="FP149">
        <v>2</v>
      </c>
    </row>
    <row r="150" spans="1:172" ht="14.25">
      <c r="A150">
        <v>145</v>
      </c>
      <c r="B150" t="str">
        <f t="shared" si="23"/>
        <v>101401</v>
      </c>
      <c r="C150" t="str">
        <f t="shared" si="24"/>
        <v>m. Sieradz</v>
      </c>
      <c r="D150" t="str">
        <f t="shared" si="25"/>
        <v>sieradzki</v>
      </c>
      <c r="E150" t="str">
        <f t="shared" si="22"/>
        <v>łódzkie</v>
      </c>
      <c r="F150">
        <v>16</v>
      </c>
      <c r="G150" t="str">
        <f>"II Liceum Ogólnokształcące im. Stefana Żeromskiego, Stefana Żeromskiego 8, 98-200 Sieradz"</f>
        <v>II Liceum Ogólnokształcące im. Stefana Żeromskiego, Stefana Żeromskiego 8, 98-200 Sieradz</v>
      </c>
      <c r="H150">
        <v>1576</v>
      </c>
      <c r="I150">
        <v>1576</v>
      </c>
      <c r="J150">
        <v>0</v>
      </c>
      <c r="K150">
        <v>1120</v>
      </c>
      <c r="L150">
        <v>509</v>
      </c>
      <c r="M150">
        <v>611</v>
      </c>
      <c r="N150">
        <v>611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610</v>
      </c>
      <c r="Z150">
        <v>0</v>
      </c>
      <c r="AA150">
        <v>0</v>
      </c>
      <c r="AB150">
        <v>610</v>
      </c>
      <c r="AC150">
        <v>10</v>
      </c>
      <c r="AD150">
        <v>600</v>
      </c>
      <c r="AE150">
        <v>9</v>
      </c>
      <c r="AF150">
        <v>4</v>
      </c>
      <c r="AG150">
        <v>2</v>
      </c>
      <c r="AH150">
        <v>1</v>
      </c>
      <c r="AI150">
        <v>0</v>
      </c>
      <c r="AJ150">
        <v>0</v>
      </c>
      <c r="AK150">
        <v>0</v>
      </c>
      <c r="AL150">
        <v>1</v>
      </c>
      <c r="AM150">
        <v>0</v>
      </c>
      <c r="AN150">
        <v>1</v>
      </c>
      <c r="AO150">
        <v>0</v>
      </c>
      <c r="AP150">
        <v>9</v>
      </c>
      <c r="AQ150">
        <v>5</v>
      </c>
      <c r="AR150">
        <v>3</v>
      </c>
      <c r="AS150">
        <v>2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5</v>
      </c>
      <c r="BC150">
        <v>87</v>
      </c>
      <c r="BD150">
        <v>19</v>
      </c>
      <c r="BE150">
        <v>3</v>
      </c>
      <c r="BF150">
        <v>59</v>
      </c>
      <c r="BG150">
        <v>0</v>
      </c>
      <c r="BH150">
        <v>0</v>
      </c>
      <c r="BI150">
        <v>1</v>
      </c>
      <c r="BJ150">
        <v>0</v>
      </c>
      <c r="BK150">
        <v>0</v>
      </c>
      <c r="BL150">
        <v>0</v>
      </c>
      <c r="BM150">
        <v>5</v>
      </c>
      <c r="BN150">
        <v>87</v>
      </c>
      <c r="BO150">
        <v>130</v>
      </c>
      <c r="BP150">
        <v>93</v>
      </c>
      <c r="BQ150">
        <v>8</v>
      </c>
      <c r="BR150">
        <v>9</v>
      </c>
      <c r="BS150">
        <v>15</v>
      </c>
      <c r="BT150">
        <v>0</v>
      </c>
      <c r="BU150">
        <v>1</v>
      </c>
      <c r="BV150">
        <v>1</v>
      </c>
      <c r="BW150">
        <v>1</v>
      </c>
      <c r="BX150">
        <v>0</v>
      </c>
      <c r="BY150">
        <v>2</v>
      </c>
      <c r="BZ150">
        <v>130</v>
      </c>
      <c r="CA150">
        <v>18</v>
      </c>
      <c r="CB150">
        <v>10</v>
      </c>
      <c r="CC150">
        <v>1</v>
      </c>
      <c r="CD150">
        <v>0</v>
      </c>
      <c r="CE150">
        <v>1</v>
      </c>
      <c r="CF150">
        <v>1</v>
      </c>
      <c r="CG150">
        <v>1</v>
      </c>
      <c r="CH150">
        <v>0</v>
      </c>
      <c r="CI150">
        <v>0</v>
      </c>
      <c r="CJ150">
        <v>1</v>
      </c>
      <c r="CK150">
        <v>3</v>
      </c>
      <c r="CL150">
        <v>18</v>
      </c>
      <c r="CM150">
        <v>16</v>
      </c>
      <c r="CN150">
        <v>13</v>
      </c>
      <c r="CO150">
        <v>1</v>
      </c>
      <c r="CP150">
        <v>0</v>
      </c>
      <c r="CQ150">
        <v>0</v>
      </c>
      <c r="CR150">
        <v>1</v>
      </c>
      <c r="CS150">
        <v>0</v>
      </c>
      <c r="CT150">
        <v>0</v>
      </c>
      <c r="CU150">
        <v>0</v>
      </c>
      <c r="CV150">
        <v>1</v>
      </c>
      <c r="CW150">
        <v>0</v>
      </c>
      <c r="CX150">
        <v>16</v>
      </c>
      <c r="CY150">
        <v>58</v>
      </c>
      <c r="CZ150">
        <v>37</v>
      </c>
      <c r="DA150">
        <v>4</v>
      </c>
      <c r="DB150">
        <v>0</v>
      </c>
      <c r="DC150">
        <v>2</v>
      </c>
      <c r="DD150">
        <v>3</v>
      </c>
      <c r="DE150">
        <v>0</v>
      </c>
      <c r="DF150">
        <v>2</v>
      </c>
      <c r="DG150">
        <v>8</v>
      </c>
      <c r="DH150">
        <v>2</v>
      </c>
      <c r="DI150">
        <v>0</v>
      </c>
      <c r="DJ150">
        <v>58</v>
      </c>
      <c r="DK150">
        <v>259</v>
      </c>
      <c r="DL150">
        <v>171</v>
      </c>
      <c r="DM150">
        <v>32</v>
      </c>
      <c r="DN150">
        <v>1</v>
      </c>
      <c r="DO150">
        <v>46</v>
      </c>
      <c r="DP150">
        <v>2</v>
      </c>
      <c r="DQ150">
        <v>0</v>
      </c>
      <c r="DR150">
        <v>0</v>
      </c>
      <c r="DS150">
        <v>2</v>
      </c>
      <c r="DT150">
        <v>2</v>
      </c>
      <c r="DU150">
        <v>3</v>
      </c>
      <c r="DV150">
        <v>259</v>
      </c>
      <c r="DW150">
        <v>12</v>
      </c>
      <c r="DX150">
        <v>5</v>
      </c>
      <c r="DY150">
        <v>0</v>
      </c>
      <c r="DZ150">
        <v>1</v>
      </c>
      <c r="EA150">
        <v>2</v>
      </c>
      <c r="EB150">
        <v>1</v>
      </c>
      <c r="EC150">
        <v>1</v>
      </c>
      <c r="ED150">
        <v>0</v>
      </c>
      <c r="EE150">
        <v>0</v>
      </c>
      <c r="EF150">
        <v>1</v>
      </c>
      <c r="EG150">
        <v>1</v>
      </c>
      <c r="EH150">
        <v>12</v>
      </c>
      <c r="EI150">
        <v>2</v>
      </c>
      <c r="EJ150">
        <v>1</v>
      </c>
      <c r="EK150">
        <v>1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2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4</v>
      </c>
      <c r="FF150">
        <v>1</v>
      </c>
      <c r="FG150">
        <v>0</v>
      </c>
      <c r="FH150">
        <v>0</v>
      </c>
      <c r="FI150">
        <v>2</v>
      </c>
      <c r="FJ150">
        <v>1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4</v>
      </c>
    </row>
    <row r="151" spans="1:172" ht="14.25">
      <c r="A151">
        <v>146</v>
      </c>
      <c r="B151" t="str">
        <f t="shared" si="23"/>
        <v>101401</v>
      </c>
      <c r="C151" t="str">
        <f t="shared" si="24"/>
        <v>m. Sieradz</v>
      </c>
      <c r="D151" t="str">
        <f t="shared" si="25"/>
        <v>sieradzki</v>
      </c>
      <c r="E151" t="str">
        <f t="shared" si="22"/>
        <v>łódzkie</v>
      </c>
      <c r="F151">
        <v>17</v>
      </c>
      <c r="G151" t="str">
        <f>"Specjalny Ośrodek Szkolno-Wychowawczy im. Janusza Korczaka, Krakowskie Przedmieście 58, 98-200 Sieradz"</f>
        <v>Specjalny Ośrodek Szkolno-Wychowawczy im. Janusza Korczaka, Krakowskie Przedmieście 58, 98-200 Sieradz</v>
      </c>
      <c r="H151">
        <v>1872</v>
      </c>
      <c r="I151">
        <v>1872</v>
      </c>
      <c r="J151">
        <v>0</v>
      </c>
      <c r="K151">
        <v>1320</v>
      </c>
      <c r="L151">
        <v>756</v>
      </c>
      <c r="M151">
        <v>564</v>
      </c>
      <c r="N151">
        <v>564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564</v>
      </c>
      <c r="Z151">
        <v>0</v>
      </c>
      <c r="AA151">
        <v>0</v>
      </c>
      <c r="AB151">
        <v>564</v>
      </c>
      <c r="AC151">
        <v>11</v>
      </c>
      <c r="AD151">
        <v>553</v>
      </c>
      <c r="AE151">
        <v>15</v>
      </c>
      <c r="AF151">
        <v>6</v>
      </c>
      <c r="AG151">
        <v>1</v>
      </c>
      <c r="AH151">
        <v>0</v>
      </c>
      <c r="AI151">
        <v>3</v>
      </c>
      <c r="AJ151">
        <v>1</v>
      </c>
      <c r="AK151">
        <v>0</v>
      </c>
      <c r="AL151">
        <v>2</v>
      </c>
      <c r="AM151">
        <v>0</v>
      </c>
      <c r="AN151">
        <v>0</v>
      </c>
      <c r="AO151">
        <v>2</v>
      </c>
      <c r="AP151">
        <v>15</v>
      </c>
      <c r="AQ151">
        <v>6</v>
      </c>
      <c r="AR151">
        <v>5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1</v>
      </c>
      <c r="BB151">
        <v>6</v>
      </c>
      <c r="BC151">
        <v>58</v>
      </c>
      <c r="BD151">
        <v>19</v>
      </c>
      <c r="BE151">
        <v>7</v>
      </c>
      <c r="BF151">
        <v>23</v>
      </c>
      <c r="BG151">
        <v>0</v>
      </c>
      <c r="BH151">
        <v>0</v>
      </c>
      <c r="BI151">
        <v>1</v>
      </c>
      <c r="BJ151">
        <v>5</v>
      </c>
      <c r="BK151">
        <v>2</v>
      </c>
      <c r="BL151">
        <v>0</v>
      </c>
      <c r="BM151">
        <v>1</v>
      </c>
      <c r="BN151">
        <v>58</v>
      </c>
      <c r="BO151">
        <v>200</v>
      </c>
      <c r="BP151">
        <v>136</v>
      </c>
      <c r="BQ151">
        <v>14</v>
      </c>
      <c r="BR151">
        <v>6</v>
      </c>
      <c r="BS151">
        <v>39</v>
      </c>
      <c r="BT151">
        <v>0</v>
      </c>
      <c r="BU151">
        <v>1</v>
      </c>
      <c r="BV151">
        <v>3</v>
      </c>
      <c r="BW151">
        <v>0</v>
      </c>
      <c r="BX151">
        <v>1</v>
      </c>
      <c r="BY151">
        <v>0</v>
      </c>
      <c r="BZ151">
        <v>200</v>
      </c>
      <c r="CA151">
        <v>14</v>
      </c>
      <c r="CB151">
        <v>3</v>
      </c>
      <c r="CC151">
        <v>1</v>
      </c>
      <c r="CD151">
        <v>0</v>
      </c>
      <c r="CE151">
        <v>0</v>
      </c>
      <c r="CF151">
        <v>4</v>
      </c>
      <c r="CG151">
        <v>1</v>
      </c>
      <c r="CH151">
        <v>1</v>
      </c>
      <c r="CI151">
        <v>0</v>
      </c>
      <c r="CJ151">
        <v>2</v>
      </c>
      <c r="CK151">
        <v>2</v>
      </c>
      <c r="CL151">
        <v>14</v>
      </c>
      <c r="CM151">
        <v>7</v>
      </c>
      <c r="CN151">
        <v>5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1</v>
      </c>
      <c r="CX151">
        <v>7</v>
      </c>
      <c r="CY151">
        <v>37</v>
      </c>
      <c r="CZ151">
        <v>20</v>
      </c>
      <c r="DA151">
        <v>8</v>
      </c>
      <c r="DB151">
        <v>0</v>
      </c>
      <c r="DC151">
        <v>1</v>
      </c>
      <c r="DD151">
        <v>4</v>
      </c>
      <c r="DE151">
        <v>1</v>
      </c>
      <c r="DF151">
        <v>0</v>
      </c>
      <c r="DG151">
        <v>1</v>
      </c>
      <c r="DH151">
        <v>1</v>
      </c>
      <c r="DI151">
        <v>1</v>
      </c>
      <c r="DJ151">
        <v>37</v>
      </c>
      <c r="DK151">
        <v>183</v>
      </c>
      <c r="DL151">
        <v>102</v>
      </c>
      <c r="DM151">
        <v>24</v>
      </c>
      <c r="DN151">
        <v>0</v>
      </c>
      <c r="DO151">
        <v>49</v>
      </c>
      <c r="DP151">
        <v>1</v>
      </c>
      <c r="DQ151">
        <v>0</v>
      </c>
      <c r="DR151">
        <v>0</v>
      </c>
      <c r="DS151">
        <v>1</v>
      </c>
      <c r="DT151">
        <v>0</v>
      </c>
      <c r="DU151">
        <v>6</v>
      </c>
      <c r="DV151">
        <v>183</v>
      </c>
      <c r="DW151">
        <v>29</v>
      </c>
      <c r="DX151">
        <v>16</v>
      </c>
      <c r="DY151">
        <v>0</v>
      </c>
      <c r="DZ151">
        <v>0</v>
      </c>
      <c r="EA151">
        <v>6</v>
      </c>
      <c r="EB151">
        <v>1</v>
      </c>
      <c r="EC151">
        <v>0</v>
      </c>
      <c r="ED151">
        <v>2</v>
      </c>
      <c r="EE151">
        <v>4</v>
      </c>
      <c r="EF151">
        <v>0</v>
      </c>
      <c r="EG151">
        <v>0</v>
      </c>
      <c r="EH151">
        <v>29</v>
      </c>
      <c r="EI151">
        <v>2</v>
      </c>
      <c r="EJ151">
        <v>1</v>
      </c>
      <c r="EK151">
        <v>1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2</v>
      </c>
      <c r="ES151">
        <v>1</v>
      </c>
      <c r="ET151">
        <v>1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1</v>
      </c>
      <c r="FE151">
        <v>1</v>
      </c>
      <c r="FF151">
        <v>0</v>
      </c>
      <c r="FG151">
        <v>1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1</v>
      </c>
    </row>
    <row r="152" spans="1:172" ht="14.25">
      <c r="A152">
        <v>147</v>
      </c>
      <c r="B152" t="str">
        <f t="shared" si="23"/>
        <v>101401</v>
      </c>
      <c r="C152" t="str">
        <f t="shared" si="24"/>
        <v>m. Sieradz</v>
      </c>
      <c r="D152" t="str">
        <f t="shared" si="25"/>
        <v>sieradzki</v>
      </c>
      <c r="E152" t="str">
        <f t="shared" si="22"/>
        <v>łódzkie</v>
      </c>
      <c r="F152">
        <v>18</v>
      </c>
      <c r="G152" t="str">
        <f>"Szkoła Podstawowa Nr 4 im. Marii Konopnickiej, 23-go Stycznia 18, 98-200 Sieradz"</f>
        <v>Szkoła Podstawowa Nr 4 im. Marii Konopnickiej, 23-go Stycznia 18, 98-200 Sieradz</v>
      </c>
      <c r="H152">
        <v>1583</v>
      </c>
      <c r="I152">
        <v>1583</v>
      </c>
      <c r="J152">
        <v>0</v>
      </c>
      <c r="K152">
        <v>1119</v>
      </c>
      <c r="L152">
        <v>778</v>
      </c>
      <c r="M152">
        <v>341</v>
      </c>
      <c r="N152">
        <v>341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341</v>
      </c>
      <c r="Z152">
        <v>0</v>
      </c>
      <c r="AA152">
        <v>0</v>
      </c>
      <c r="AB152">
        <v>341</v>
      </c>
      <c r="AC152">
        <v>13</v>
      </c>
      <c r="AD152">
        <v>328</v>
      </c>
      <c r="AE152">
        <v>4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0</v>
      </c>
      <c r="AL152">
        <v>2</v>
      </c>
      <c r="AM152">
        <v>1</v>
      </c>
      <c r="AN152">
        <v>0</v>
      </c>
      <c r="AO152">
        <v>0</v>
      </c>
      <c r="AP152">
        <v>4</v>
      </c>
      <c r="AQ152">
        <v>2</v>
      </c>
      <c r="AR152">
        <v>1</v>
      </c>
      <c r="AS152">
        <v>1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2</v>
      </c>
      <c r="BC152">
        <v>46</v>
      </c>
      <c r="BD152">
        <v>13</v>
      </c>
      <c r="BE152">
        <v>0</v>
      </c>
      <c r="BF152">
        <v>26</v>
      </c>
      <c r="BG152">
        <v>2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4</v>
      </c>
      <c r="BN152">
        <v>46</v>
      </c>
      <c r="BO152">
        <v>129</v>
      </c>
      <c r="BP152">
        <v>76</v>
      </c>
      <c r="BQ152">
        <v>6</v>
      </c>
      <c r="BR152">
        <v>3</v>
      </c>
      <c r="BS152">
        <v>30</v>
      </c>
      <c r="BT152">
        <v>0</v>
      </c>
      <c r="BU152">
        <v>1</v>
      </c>
      <c r="BV152">
        <v>6</v>
      </c>
      <c r="BW152">
        <v>2</v>
      </c>
      <c r="BX152">
        <v>3</v>
      </c>
      <c r="BY152">
        <v>2</v>
      </c>
      <c r="BZ152">
        <v>129</v>
      </c>
      <c r="CA152">
        <v>11</v>
      </c>
      <c r="CB152">
        <v>6</v>
      </c>
      <c r="CC152">
        <v>1</v>
      </c>
      <c r="CD152">
        <v>2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1</v>
      </c>
      <c r="CL152">
        <v>11</v>
      </c>
      <c r="CM152">
        <v>2</v>
      </c>
      <c r="CN152">
        <v>2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2</v>
      </c>
      <c r="CY152">
        <v>19</v>
      </c>
      <c r="CZ152">
        <v>6</v>
      </c>
      <c r="DA152">
        <v>0</v>
      </c>
      <c r="DB152">
        <v>0</v>
      </c>
      <c r="DC152">
        <v>2</v>
      </c>
      <c r="DD152">
        <v>7</v>
      </c>
      <c r="DE152">
        <v>0</v>
      </c>
      <c r="DF152">
        <v>3</v>
      </c>
      <c r="DG152">
        <v>0</v>
      </c>
      <c r="DH152">
        <v>0</v>
      </c>
      <c r="DI152">
        <v>1</v>
      </c>
      <c r="DJ152">
        <v>19</v>
      </c>
      <c r="DK152">
        <v>103</v>
      </c>
      <c r="DL152">
        <v>47</v>
      </c>
      <c r="DM152">
        <v>23</v>
      </c>
      <c r="DN152">
        <v>0</v>
      </c>
      <c r="DO152">
        <v>29</v>
      </c>
      <c r="DP152">
        <v>0</v>
      </c>
      <c r="DQ152">
        <v>0</v>
      </c>
      <c r="DR152">
        <v>1</v>
      </c>
      <c r="DS152">
        <v>0</v>
      </c>
      <c r="DT152">
        <v>0</v>
      </c>
      <c r="DU152">
        <v>3</v>
      </c>
      <c r="DV152">
        <v>103</v>
      </c>
      <c r="DW152">
        <v>7</v>
      </c>
      <c r="DX152">
        <v>2</v>
      </c>
      <c r="DY152">
        <v>0</v>
      </c>
      <c r="DZ152">
        <v>0</v>
      </c>
      <c r="EA152">
        <v>2</v>
      </c>
      <c r="EB152">
        <v>0</v>
      </c>
      <c r="EC152">
        <v>3</v>
      </c>
      <c r="ED152">
        <v>0</v>
      </c>
      <c r="EE152">
        <v>0</v>
      </c>
      <c r="EF152">
        <v>0</v>
      </c>
      <c r="EG152">
        <v>0</v>
      </c>
      <c r="EH152">
        <v>7</v>
      </c>
      <c r="EI152">
        <v>2</v>
      </c>
      <c r="EJ152">
        <v>0</v>
      </c>
      <c r="EK152">
        <v>1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1</v>
      </c>
      <c r="ER152">
        <v>2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3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1</v>
      </c>
      <c r="FM152">
        <v>0</v>
      </c>
      <c r="FN152">
        <v>0</v>
      </c>
      <c r="FO152">
        <v>2</v>
      </c>
      <c r="FP152">
        <v>3</v>
      </c>
    </row>
    <row r="153" spans="1:172" ht="14.25">
      <c r="A153">
        <v>148</v>
      </c>
      <c r="B153" t="str">
        <f t="shared" si="23"/>
        <v>101401</v>
      </c>
      <c r="C153" t="str">
        <f t="shared" si="24"/>
        <v>m. Sieradz</v>
      </c>
      <c r="D153" t="str">
        <f t="shared" si="25"/>
        <v>sieradzki</v>
      </c>
      <c r="E153" t="str">
        <f t="shared" si="22"/>
        <v>łódzkie</v>
      </c>
      <c r="F153">
        <v>19</v>
      </c>
      <c r="G153" t="str">
        <f>"Zespół Szkół Ponadgimnazjalnych Nr 1, Józefa Piłsudskiego 5, 98-200 Sieradz"</f>
        <v>Zespół Szkół Ponadgimnazjalnych Nr 1, Józefa Piłsudskiego 5, 98-200 Sieradz</v>
      </c>
      <c r="H153">
        <v>1945</v>
      </c>
      <c r="I153">
        <v>1945</v>
      </c>
      <c r="J153">
        <v>0</v>
      </c>
      <c r="K153">
        <v>1367</v>
      </c>
      <c r="L153">
        <v>871</v>
      </c>
      <c r="M153">
        <v>496</v>
      </c>
      <c r="N153">
        <v>496</v>
      </c>
      <c r="O153">
        <v>0</v>
      </c>
      <c r="P153">
        <v>1</v>
      </c>
      <c r="Q153">
        <v>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496</v>
      </c>
      <c r="Z153">
        <v>0</v>
      </c>
      <c r="AA153">
        <v>0</v>
      </c>
      <c r="AB153">
        <v>496</v>
      </c>
      <c r="AC153">
        <v>25</v>
      </c>
      <c r="AD153">
        <v>471</v>
      </c>
      <c r="AE153">
        <v>14</v>
      </c>
      <c r="AF153">
        <v>3</v>
      </c>
      <c r="AG153">
        <v>0</v>
      </c>
      <c r="AH153">
        <v>2</v>
      </c>
      <c r="AI153">
        <v>1</v>
      </c>
      <c r="AJ153">
        <v>1</v>
      </c>
      <c r="AK153">
        <v>0</v>
      </c>
      <c r="AL153">
        <v>2</v>
      </c>
      <c r="AM153">
        <v>3</v>
      </c>
      <c r="AN153">
        <v>2</v>
      </c>
      <c r="AO153">
        <v>0</v>
      </c>
      <c r="AP153">
        <v>14</v>
      </c>
      <c r="AQ153">
        <v>4</v>
      </c>
      <c r="AR153">
        <v>1</v>
      </c>
      <c r="AS153">
        <v>3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4</v>
      </c>
      <c r="BC153">
        <v>60</v>
      </c>
      <c r="BD153">
        <v>17</v>
      </c>
      <c r="BE153">
        <v>1</v>
      </c>
      <c r="BF153">
        <v>28</v>
      </c>
      <c r="BG153">
        <v>8</v>
      </c>
      <c r="BH153">
        <v>0</v>
      </c>
      <c r="BI153">
        <v>1</v>
      </c>
      <c r="BJ153">
        <v>0</v>
      </c>
      <c r="BK153">
        <v>0</v>
      </c>
      <c r="BL153">
        <v>0</v>
      </c>
      <c r="BM153">
        <v>5</v>
      </c>
      <c r="BN153">
        <v>60</v>
      </c>
      <c r="BO153">
        <v>166</v>
      </c>
      <c r="BP153">
        <v>119</v>
      </c>
      <c r="BQ153">
        <v>20</v>
      </c>
      <c r="BR153">
        <v>7</v>
      </c>
      <c r="BS153">
        <v>11</v>
      </c>
      <c r="BT153">
        <v>1</v>
      </c>
      <c r="BU153">
        <v>1</v>
      </c>
      <c r="BV153">
        <v>5</v>
      </c>
      <c r="BW153">
        <v>0</v>
      </c>
      <c r="BX153">
        <v>1</v>
      </c>
      <c r="BY153">
        <v>1</v>
      </c>
      <c r="BZ153">
        <v>166</v>
      </c>
      <c r="CA153">
        <v>11</v>
      </c>
      <c r="CB153">
        <v>3</v>
      </c>
      <c r="CC153">
        <v>3</v>
      </c>
      <c r="CD153">
        <v>1</v>
      </c>
      <c r="CE153">
        <v>0</v>
      </c>
      <c r="CF153">
        <v>1</v>
      </c>
      <c r="CG153">
        <v>0</v>
      </c>
      <c r="CH153">
        <v>1</v>
      </c>
      <c r="CI153">
        <v>0</v>
      </c>
      <c r="CJ153">
        <v>1</v>
      </c>
      <c r="CK153">
        <v>1</v>
      </c>
      <c r="CL153">
        <v>11</v>
      </c>
      <c r="CM153">
        <v>9</v>
      </c>
      <c r="CN153">
        <v>6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2</v>
      </c>
      <c r="CX153">
        <v>9</v>
      </c>
      <c r="CY153">
        <v>27</v>
      </c>
      <c r="CZ153">
        <v>18</v>
      </c>
      <c r="DA153">
        <v>2</v>
      </c>
      <c r="DB153">
        <v>0</v>
      </c>
      <c r="DC153">
        <v>0</v>
      </c>
      <c r="DD153">
        <v>6</v>
      </c>
      <c r="DE153">
        <v>0</v>
      </c>
      <c r="DF153">
        <v>1</v>
      </c>
      <c r="DG153">
        <v>0</v>
      </c>
      <c r="DH153">
        <v>0</v>
      </c>
      <c r="DI153">
        <v>0</v>
      </c>
      <c r="DJ153">
        <v>27</v>
      </c>
      <c r="DK153">
        <v>158</v>
      </c>
      <c r="DL153">
        <v>89</v>
      </c>
      <c r="DM153">
        <v>19</v>
      </c>
      <c r="DN153">
        <v>0</v>
      </c>
      <c r="DO153">
        <v>44</v>
      </c>
      <c r="DP153">
        <v>2</v>
      </c>
      <c r="DQ153">
        <v>0</v>
      </c>
      <c r="DR153">
        <v>2</v>
      </c>
      <c r="DS153">
        <v>0</v>
      </c>
      <c r="DT153">
        <v>1</v>
      </c>
      <c r="DU153">
        <v>1</v>
      </c>
      <c r="DV153">
        <v>158</v>
      </c>
      <c r="DW153">
        <v>15</v>
      </c>
      <c r="DX153">
        <v>7</v>
      </c>
      <c r="DY153">
        <v>1</v>
      </c>
      <c r="DZ153">
        <v>1</v>
      </c>
      <c r="EA153">
        <v>3</v>
      </c>
      <c r="EB153">
        <v>1</v>
      </c>
      <c r="EC153">
        <v>1</v>
      </c>
      <c r="ED153">
        <v>1</v>
      </c>
      <c r="EE153">
        <v>0</v>
      </c>
      <c r="EF153">
        <v>0</v>
      </c>
      <c r="EG153">
        <v>0</v>
      </c>
      <c r="EH153">
        <v>15</v>
      </c>
      <c r="EI153">
        <v>4</v>
      </c>
      <c r="EJ153">
        <v>0</v>
      </c>
      <c r="EK153">
        <v>3</v>
      </c>
      <c r="EL153">
        <v>0</v>
      </c>
      <c r="EM153">
        <v>0</v>
      </c>
      <c r="EN153">
        <v>1</v>
      </c>
      <c r="EO153">
        <v>0</v>
      </c>
      <c r="EP153">
        <v>0</v>
      </c>
      <c r="EQ153">
        <v>0</v>
      </c>
      <c r="ER153">
        <v>4</v>
      </c>
      <c r="ES153">
        <v>2</v>
      </c>
      <c r="ET153">
        <v>1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1</v>
      </c>
      <c r="FD153">
        <v>2</v>
      </c>
      <c r="FE153">
        <v>1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1</v>
      </c>
      <c r="FL153">
        <v>0</v>
      </c>
      <c r="FM153">
        <v>0</v>
      </c>
      <c r="FN153">
        <v>0</v>
      </c>
      <c r="FO153">
        <v>0</v>
      </c>
      <c r="FP153">
        <v>1</v>
      </c>
    </row>
    <row r="154" spans="1:172" ht="14.25">
      <c r="A154">
        <v>149</v>
      </c>
      <c r="B154" t="str">
        <f t="shared" si="23"/>
        <v>101401</v>
      </c>
      <c r="C154" t="str">
        <f t="shared" si="24"/>
        <v>m. Sieradz</v>
      </c>
      <c r="D154" t="str">
        <f t="shared" si="25"/>
        <v>sieradzki</v>
      </c>
      <c r="E154" t="str">
        <f t="shared" si="22"/>
        <v>łódzkie</v>
      </c>
      <c r="F154">
        <v>20</v>
      </c>
      <c r="G154" t="str">
        <f>"Gimnazjum Nr 2 im. Królowej Jadwigi, Rycerska 4, 98-200 Sieradz"</f>
        <v>Gimnazjum Nr 2 im. Królowej Jadwigi, Rycerska 4, 98-200 Sieradz</v>
      </c>
      <c r="H154">
        <v>986</v>
      </c>
      <c r="I154">
        <v>986</v>
      </c>
      <c r="J154">
        <v>0</v>
      </c>
      <c r="K154">
        <v>700</v>
      </c>
      <c r="L154">
        <v>457</v>
      </c>
      <c r="M154">
        <v>243</v>
      </c>
      <c r="N154">
        <v>243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243</v>
      </c>
      <c r="Z154">
        <v>0</v>
      </c>
      <c r="AA154">
        <v>0</v>
      </c>
      <c r="AB154">
        <v>243</v>
      </c>
      <c r="AC154">
        <v>6</v>
      </c>
      <c r="AD154">
        <v>237</v>
      </c>
      <c r="AE154">
        <v>15</v>
      </c>
      <c r="AF154">
        <v>5</v>
      </c>
      <c r="AG154">
        <v>4</v>
      </c>
      <c r="AH154">
        <v>1</v>
      </c>
      <c r="AI154">
        <v>0</v>
      </c>
      <c r="AJ154">
        <v>0</v>
      </c>
      <c r="AK154">
        <v>0</v>
      </c>
      <c r="AL154">
        <v>2</v>
      </c>
      <c r="AM154">
        <v>0</v>
      </c>
      <c r="AN154">
        <v>3</v>
      </c>
      <c r="AO154">
        <v>0</v>
      </c>
      <c r="AP154">
        <v>15</v>
      </c>
      <c r="AQ154">
        <v>3</v>
      </c>
      <c r="AR154">
        <v>1</v>
      </c>
      <c r="AS154">
        <v>0</v>
      </c>
      <c r="AT154">
        <v>1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1</v>
      </c>
      <c r="BB154">
        <v>3</v>
      </c>
      <c r="BC154">
        <v>16</v>
      </c>
      <c r="BD154">
        <v>2</v>
      </c>
      <c r="BE154">
        <v>1</v>
      </c>
      <c r="BF154">
        <v>12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1</v>
      </c>
      <c r="BM154">
        <v>0</v>
      </c>
      <c r="BN154">
        <v>16</v>
      </c>
      <c r="BO154">
        <v>92</v>
      </c>
      <c r="BP154">
        <v>60</v>
      </c>
      <c r="BQ154">
        <v>9</v>
      </c>
      <c r="BR154">
        <v>8</v>
      </c>
      <c r="BS154">
        <v>13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2</v>
      </c>
      <c r="BZ154">
        <v>92</v>
      </c>
      <c r="CA154">
        <v>3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3</v>
      </c>
      <c r="CL154">
        <v>3</v>
      </c>
      <c r="CM154">
        <v>1</v>
      </c>
      <c r="CN154">
        <v>0</v>
      </c>
      <c r="CO154">
        <v>0</v>
      </c>
      <c r="CP154">
        <v>0</v>
      </c>
      <c r="CQ154">
        <v>1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1</v>
      </c>
      <c r="CY154">
        <v>13</v>
      </c>
      <c r="CZ154">
        <v>5</v>
      </c>
      <c r="DA154">
        <v>1</v>
      </c>
      <c r="DB154">
        <v>0</v>
      </c>
      <c r="DC154">
        <v>0</v>
      </c>
      <c r="DD154">
        <v>7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13</v>
      </c>
      <c r="DK154">
        <v>89</v>
      </c>
      <c r="DL154">
        <v>43</v>
      </c>
      <c r="DM154">
        <v>10</v>
      </c>
      <c r="DN154">
        <v>0</v>
      </c>
      <c r="DO154">
        <v>33</v>
      </c>
      <c r="DP154">
        <v>0</v>
      </c>
      <c r="DQ154">
        <v>0</v>
      </c>
      <c r="DR154">
        <v>0</v>
      </c>
      <c r="DS154">
        <v>0</v>
      </c>
      <c r="DT154">
        <v>2</v>
      </c>
      <c r="DU154">
        <v>1</v>
      </c>
      <c r="DV154">
        <v>89</v>
      </c>
      <c r="DW154">
        <v>4</v>
      </c>
      <c r="DX154">
        <v>2</v>
      </c>
      <c r="DY154">
        <v>0</v>
      </c>
      <c r="DZ154">
        <v>0</v>
      </c>
      <c r="EA154">
        <v>1</v>
      </c>
      <c r="EB154">
        <v>0</v>
      </c>
      <c r="EC154">
        <v>1</v>
      </c>
      <c r="ED154">
        <v>0</v>
      </c>
      <c r="EE154">
        <v>0</v>
      </c>
      <c r="EF154">
        <v>0</v>
      </c>
      <c r="EG154">
        <v>0</v>
      </c>
      <c r="EH154">
        <v>4</v>
      </c>
      <c r="EI154">
        <v>1</v>
      </c>
      <c r="EJ154">
        <v>1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1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</row>
    <row r="155" spans="1:172" ht="14.25">
      <c r="A155">
        <v>150</v>
      </c>
      <c r="B155" t="str">
        <f t="shared" si="23"/>
        <v>101401</v>
      </c>
      <c r="C155" t="str">
        <f t="shared" si="24"/>
        <v>m. Sieradz</v>
      </c>
      <c r="D155" t="str">
        <f t="shared" si="25"/>
        <v>sieradzki</v>
      </c>
      <c r="E155" t="str">
        <f t="shared" si="22"/>
        <v>łódzkie</v>
      </c>
      <c r="F155">
        <v>21</v>
      </c>
      <c r="G155" t="str">
        <f>"Dom Ludowo Strażacki, Nadwarciańska 2, 98-200 Sieradz"</f>
        <v>Dom Ludowo Strażacki, Nadwarciańska 2, 98-200 Sieradz</v>
      </c>
      <c r="H155">
        <v>847</v>
      </c>
      <c r="I155">
        <v>847</v>
      </c>
      <c r="J155">
        <v>0</v>
      </c>
      <c r="K155">
        <v>600</v>
      </c>
      <c r="L155">
        <v>436</v>
      </c>
      <c r="M155">
        <v>164</v>
      </c>
      <c r="N155">
        <v>164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164</v>
      </c>
      <c r="Z155">
        <v>0</v>
      </c>
      <c r="AA155">
        <v>0</v>
      </c>
      <c r="AB155">
        <v>164</v>
      </c>
      <c r="AC155">
        <v>10</v>
      </c>
      <c r="AD155">
        <v>154</v>
      </c>
      <c r="AE155">
        <v>5</v>
      </c>
      <c r="AF155">
        <v>2</v>
      </c>
      <c r="AG155">
        <v>2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5</v>
      </c>
      <c r="AQ155">
        <v>2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1</v>
      </c>
      <c r="AX155">
        <v>1</v>
      </c>
      <c r="AY155">
        <v>0</v>
      </c>
      <c r="AZ155">
        <v>0</v>
      </c>
      <c r="BA155">
        <v>0</v>
      </c>
      <c r="BB155">
        <v>2</v>
      </c>
      <c r="BC155">
        <v>18</v>
      </c>
      <c r="BD155">
        <v>3</v>
      </c>
      <c r="BE155">
        <v>2</v>
      </c>
      <c r="BF155">
        <v>10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1</v>
      </c>
      <c r="BM155">
        <v>2</v>
      </c>
      <c r="BN155">
        <v>18</v>
      </c>
      <c r="BO155">
        <v>85</v>
      </c>
      <c r="BP155">
        <v>60</v>
      </c>
      <c r="BQ155">
        <v>9</v>
      </c>
      <c r="BR155">
        <v>2</v>
      </c>
      <c r="BS155">
        <v>11</v>
      </c>
      <c r="BT155">
        <v>0</v>
      </c>
      <c r="BU155">
        <v>1</v>
      </c>
      <c r="BV155">
        <v>1</v>
      </c>
      <c r="BW155">
        <v>0</v>
      </c>
      <c r="BX155">
        <v>0</v>
      </c>
      <c r="BY155">
        <v>1</v>
      </c>
      <c r="BZ155">
        <v>85</v>
      </c>
      <c r="CA155">
        <v>3</v>
      </c>
      <c r="CB155">
        <v>0</v>
      </c>
      <c r="CC155">
        <v>1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2</v>
      </c>
      <c r="CK155">
        <v>0</v>
      </c>
      <c r="CL155">
        <v>3</v>
      </c>
      <c r="CM155">
        <v>1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1</v>
      </c>
      <c r="CY155">
        <v>4</v>
      </c>
      <c r="CZ155">
        <v>3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4</v>
      </c>
      <c r="DK155">
        <v>30</v>
      </c>
      <c r="DL155">
        <v>21</v>
      </c>
      <c r="DM155">
        <v>0</v>
      </c>
      <c r="DN155">
        <v>0</v>
      </c>
      <c r="DO155">
        <v>9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30</v>
      </c>
      <c r="DW155">
        <v>4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2</v>
      </c>
      <c r="ED155">
        <v>1</v>
      </c>
      <c r="EE155">
        <v>0</v>
      </c>
      <c r="EF155">
        <v>0</v>
      </c>
      <c r="EG155">
        <v>0</v>
      </c>
      <c r="EH155">
        <v>4</v>
      </c>
      <c r="EI155">
        <v>1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1</v>
      </c>
      <c r="EQ155">
        <v>0</v>
      </c>
      <c r="ER155">
        <v>1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1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1</v>
      </c>
      <c r="FP155">
        <v>1</v>
      </c>
    </row>
    <row r="156" spans="1:172" ht="14.25">
      <c r="A156">
        <v>151</v>
      </c>
      <c r="B156" t="str">
        <f t="shared" si="23"/>
        <v>101401</v>
      </c>
      <c r="C156" t="str">
        <f t="shared" si="24"/>
        <v>m. Sieradz</v>
      </c>
      <c r="D156" t="str">
        <f t="shared" si="25"/>
        <v>sieradzki</v>
      </c>
      <c r="E156" t="str">
        <f t="shared" si="22"/>
        <v>łódzkie</v>
      </c>
      <c r="F156">
        <v>22</v>
      </c>
      <c r="G156" t="str">
        <f>"Zespół Placówek Wychowania Pozaszkolnego, Tysiąclecia 3, 98-200 Sieradz"</f>
        <v>Zespół Placówek Wychowania Pozaszkolnego, Tysiąclecia 3, 98-200 Sieradz</v>
      </c>
      <c r="H156">
        <v>1224</v>
      </c>
      <c r="I156">
        <v>1224</v>
      </c>
      <c r="J156">
        <v>0</v>
      </c>
      <c r="K156">
        <v>860</v>
      </c>
      <c r="L156">
        <v>556</v>
      </c>
      <c r="M156">
        <v>304</v>
      </c>
      <c r="N156">
        <v>304</v>
      </c>
      <c r="O156">
        <v>0</v>
      </c>
      <c r="P156">
        <v>1</v>
      </c>
      <c r="Q156">
        <v>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304</v>
      </c>
      <c r="Z156">
        <v>0</v>
      </c>
      <c r="AA156">
        <v>0</v>
      </c>
      <c r="AB156">
        <v>304</v>
      </c>
      <c r="AC156">
        <v>7</v>
      </c>
      <c r="AD156">
        <v>297</v>
      </c>
      <c r="AE156">
        <v>4</v>
      </c>
      <c r="AF156">
        <v>1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2</v>
      </c>
      <c r="AP156">
        <v>4</v>
      </c>
      <c r="AQ156">
        <v>2</v>
      </c>
      <c r="AR156">
        <v>0</v>
      </c>
      <c r="AS156">
        <v>0</v>
      </c>
      <c r="AT156">
        <v>0</v>
      </c>
      <c r="AU156">
        <v>1</v>
      </c>
      <c r="AV156">
        <v>0</v>
      </c>
      <c r="AW156">
        <v>1</v>
      </c>
      <c r="AX156">
        <v>0</v>
      </c>
      <c r="AY156">
        <v>0</v>
      </c>
      <c r="AZ156">
        <v>0</v>
      </c>
      <c r="BA156">
        <v>0</v>
      </c>
      <c r="BB156">
        <v>2</v>
      </c>
      <c r="BC156">
        <v>38</v>
      </c>
      <c r="BD156">
        <v>5</v>
      </c>
      <c r="BE156">
        <v>0</v>
      </c>
      <c r="BF156">
        <v>30</v>
      </c>
      <c r="BG156">
        <v>2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1</v>
      </c>
      <c r="BN156">
        <v>38</v>
      </c>
      <c r="BO156">
        <v>108</v>
      </c>
      <c r="BP156">
        <v>66</v>
      </c>
      <c r="BQ156">
        <v>11</v>
      </c>
      <c r="BR156">
        <v>12</v>
      </c>
      <c r="BS156">
        <v>14</v>
      </c>
      <c r="BT156">
        <v>1</v>
      </c>
      <c r="BU156">
        <v>0</v>
      </c>
      <c r="BV156">
        <v>3</v>
      </c>
      <c r="BW156">
        <v>0</v>
      </c>
      <c r="BX156">
        <v>1</v>
      </c>
      <c r="BY156">
        <v>0</v>
      </c>
      <c r="BZ156">
        <v>108</v>
      </c>
      <c r="CA156">
        <v>2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1</v>
      </c>
      <c r="CL156">
        <v>2</v>
      </c>
      <c r="CM156">
        <v>4</v>
      </c>
      <c r="CN156">
        <v>1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2</v>
      </c>
      <c r="CV156">
        <v>0</v>
      </c>
      <c r="CW156">
        <v>0</v>
      </c>
      <c r="CX156">
        <v>4</v>
      </c>
      <c r="CY156">
        <v>18</v>
      </c>
      <c r="CZ156">
        <v>6</v>
      </c>
      <c r="DA156">
        <v>2</v>
      </c>
      <c r="DB156">
        <v>0</v>
      </c>
      <c r="DC156">
        <v>1</v>
      </c>
      <c r="DD156">
        <v>5</v>
      </c>
      <c r="DE156">
        <v>0</v>
      </c>
      <c r="DF156">
        <v>0</v>
      </c>
      <c r="DG156">
        <v>2</v>
      </c>
      <c r="DH156">
        <v>1</v>
      </c>
      <c r="DI156">
        <v>1</v>
      </c>
      <c r="DJ156">
        <v>18</v>
      </c>
      <c r="DK156">
        <v>112</v>
      </c>
      <c r="DL156">
        <v>68</v>
      </c>
      <c r="DM156">
        <v>9</v>
      </c>
      <c r="DN156">
        <v>1</v>
      </c>
      <c r="DO156">
        <v>33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1</v>
      </c>
      <c r="DV156">
        <v>112</v>
      </c>
      <c r="DW156">
        <v>6</v>
      </c>
      <c r="DX156">
        <v>2</v>
      </c>
      <c r="DY156">
        <v>1</v>
      </c>
      <c r="DZ156">
        <v>0</v>
      </c>
      <c r="EA156">
        <v>3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6</v>
      </c>
      <c r="EI156">
        <v>1</v>
      </c>
      <c r="EJ156">
        <v>0</v>
      </c>
      <c r="EK156">
        <v>1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1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2</v>
      </c>
      <c r="FF156">
        <v>1</v>
      </c>
      <c r="FG156">
        <v>0</v>
      </c>
      <c r="FH156">
        <v>1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2</v>
      </c>
    </row>
    <row r="157" spans="1:172" ht="14.25">
      <c r="A157">
        <v>152</v>
      </c>
      <c r="B157" t="str">
        <f t="shared" si="23"/>
        <v>101401</v>
      </c>
      <c r="C157" t="str">
        <f t="shared" si="24"/>
        <v>m. Sieradz</v>
      </c>
      <c r="D157" t="str">
        <f t="shared" si="25"/>
        <v>sieradzki</v>
      </c>
      <c r="E157" t="str">
        <f t="shared" si="22"/>
        <v>łódzkie</v>
      </c>
      <c r="F157">
        <v>23</v>
      </c>
      <c r="G157" t="str">
        <f>"Szkoła Podstawowa Nr 6 im. Janiny Majkowskiej, Uniejowska 199, 98-200 Sieradz"</f>
        <v>Szkoła Podstawowa Nr 6 im. Janiny Majkowskiej, Uniejowska 199, 98-200 Sieradz</v>
      </c>
      <c r="H157">
        <v>1451</v>
      </c>
      <c r="I157">
        <v>1451</v>
      </c>
      <c r="J157">
        <v>0</v>
      </c>
      <c r="K157">
        <v>1020</v>
      </c>
      <c r="L157">
        <v>762</v>
      </c>
      <c r="M157">
        <v>258</v>
      </c>
      <c r="N157">
        <v>258</v>
      </c>
      <c r="O157">
        <v>0</v>
      </c>
      <c r="P157">
        <v>0</v>
      </c>
      <c r="Q157">
        <v>5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258</v>
      </c>
      <c r="Z157">
        <v>0</v>
      </c>
      <c r="AA157">
        <v>0</v>
      </c>
      <c r="AB157">
        <v>258</v>
      </c>
      <c r="AC157">
        <v>5</v>
      </c>
      <c r="AD157">
        <v>253</v>
      </c>
      <c r="AE157">
        <v>8</v>
      </c>
      <c r="AF157">
        <v>3</v>
      </c>
      <c r="AG157">
        <v>1</v>
      </c>
      <c r="AH157">
        <v>0</v>
      </c>
      <c r="AI157">
        <v>0</v>
      </c>
      <c r="AJ157">
        <v>1</v>
      </c>
      <c r="AK157">
        <v>3</v>
      </c>
      <c r="AL157">
        <v>0</v>
      </c>
      <c r="AM157">
        <v>0</v>
      </c>
      <c r="AN157">
        <v>0</v>
      </c>
      <c r="AO157">
        <v>0</v>
      </c>
      <c r="AP157">
        <v>8</v>
      </c>
      <c r="AQ157">
        <v>4</v>
      </c>
      <c r="AR157">
        <v>0</v>
      </c>
      <c r="AS157">
        <v>0</v>
      </c>
      <c r="AT157">
        <v>1</v>
      </c>
      <c r="AU157">
        <v>0</v>
      </c>
      <c r="AV157">
        <v>3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4</v>
      </c>
      <c r="BC157">
        <v>21</v>
      </c>
      <c r="BD157">
        <v>4</v>
      </c>
      <c r="BE157">
        <v>0</v>
      </c>
      <c r="BF157">
        <v>15</v>
      </c>
      <c r="BG157">
        <v>0</v>
      </c>
      <c r="BH157">
        <v>0</v>
      </c>
      <c r="BI157">
        <v>0</v>
      </c>
      <c r="BJ157">
        <v>2</v>
      </c>
      <c r="BK157">
        <v>0</v>
      </c>
      <c r="BL157">
        <v>0</v>
      </c>
      <c r="BM157">
        <v>0</v>
      </c>
      <c r="BN157">
        <v>21</v>
      </c>
      <c r="BO157">
        <v>107</v>
      </c>
      <c r="BP157">
        <v>80</v>
      </c>
      <c r="BQ157">
        <v>7</v>
      </c>
      <c r="BR157">
        <v>9</v>
      </c>
      <c r="BS157">
        <v>7</v>
      </c>
      <c r="BT157">
        <v>0</v>
      </c>
      <c r="BU157">
        <v>0</v>
      </c>
      <c r="BV157">
        <v>0</v>
      </c>
      <c r="BW157">
        <v>0</v>
      </c>
      <c r="BX157">
        <v>1</v>
      </c>
      <c r="BY157">
        <v>3</v>
      </c>
      <c r="BZ157">
        <v>107</v>
      </c>
      <c r="CA157">
        <v>3</v>
      </c>
      <c r="CB157">
        <v>1</v>
      </c>
      <c r="CC157">
        <v>1</v>
      </c>
      <c r="CD157">
        <v>0</v>
      </c>
      <c r="CE157">
        <v>0</v>
      </c>
      <c r="CF157">
        <v>0</v>
      </c>
      <c r="CG157">
        <v>1</v>
      </c>
      <c r="CH157">
        <v>0</v>
      </c>
      <c r="CI157">
        <v>0</v>
      </c>
      <c r="CJ157">
        <v>0</v>
      </c>
      <c r="CK157">
        <v>0</v>
      </c>
      <c r="CL157">
        <v>3</v>
      </c>
      <c r="CM157">
        <v>11</v>
      </c>
      <c r="CN157">
        <v>6</v>
      </c>
      <c r="CO157">
        <v>2</v>
      </c>
      <c r="CP157">
        <v>0</v>
      </c>
      <c r="CQ157">
        <v>1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11</v>
      </c>
      <c r="CY157">
        <v>27</v>
      </c>
      <c r="CZ157">
        <v>10</v>
      </c>
      <c r="DA157">
        <v>2</v>
      </c>
      <c r="DB157">
        <v>1</v>
      </c>
      <c r="DC157">
        <v>1</v>
      </c>
      <c r="DD157">
        <v>10</v>
      </c>
      <c r="DE157">
        <v>0</v>
      </c>
      <c r="DF157">
        <v>0</v>
      </c>
      <c r="DG157">
        <v>2</v>
      </c>
      <c r="DH157">
        <v>1</v>
      </c>
      <c r="DI157">
        <v>0</v>
      </c>
      <c r="DJ157">
        <v>27</v>
      </c>
      <c r="DK157">
        <v>65</v>
      </c>
      <c r="DL157">
        <v>34</v>
      </c>
      <c r="DM157">
        <v>15</v>
      </c>
      <c r="DN157">
        <v>0</v>
      </c>
      <c r="DO157">
        <v>13</v>
      </c>
      <c r="DP157">
        <v>1</v>
      </c>
      <c r="DQ157">
        <v>0</v>
      </c>
      <c r="DR157">
        <v>0</v>
      </c>
      <c r="DS157">
        <v>0</v>
      </c>
      <c r="DT157">
        <v>0</v>
      </c>
      <c r="DU157">
        <v>2</v>
      </c>
      <c r="DV157">
        <v>65</v>
      </c>
      <c r="DW157">
        <v>6</v>
      </c>
      <c r="DX157">
        <v>4</v>
      </c>
      <c r="DY157">
        <v>0</v>
      </c>
      <c r="DZ157">
        <v>0</v>
      </c>
      <c r="EA157">
        <v>0</v>
      </c>
      <c r="EB157">
        <v>0</v>
      </c>
      <c r="EC157">
        <v>1</v>
      </c>
      <c r="ED157">
        <v>0</v>
      </c>
      <c r="EE157">
        <v>0</v>
      </c>
      <c r="EF157">
        <v>0</v>
      </c>
      <c r="EG157">
        <v>1</v>
      </c>
      <c r="EH157">
        <v>6</v>
      </c>
      <c r="EI157">
        <v>1</v>
      </c>
      <c r="EJ157">
        <v>0</v>
      </c>
      <c r="EK157">
        <v>1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1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</row>
    <row r="158" spans="1:172" ht="14.25">
      <c r="A158">
        <v>153</v>
      </c>
      <c r="B158" t="str">
        <f t="shared" si="23"/>
        <v>101401</v>
      </c>
      <c r="C158" t="str">
        <f t="shared" si="24"/>
        <v>m. Sieradz</v>
      </c>
      <c r="D158" t="str">
        <f t="shared" si="25"/>
        <v>sieradzki</v>
      </c>
      <c r="E158" t="str">
        <f t="shared" si="22"/>
        <v>łódzkie</v>
      </c>
      <c r="F158">
        <v>24</v>
      </c>
      <c r="G158" t="str">
        <f>"Szpital Wojewódzki im. Prymasa Kardynała Stefana Wyszyńskiego w Sieradzu, Armii Krajowej 7, 98-200 Sieradz"</f>
        <v>Szpital Wojewódzki im. Prymasa Kardynała Stefana Wyszyńskiego w Sieradzu, Armii Krajowej 7, 98-200 Sieradz</v>
      </c>
      <c r="H158">
        <v>462</v>
      </c>
      <c r="I158">
        <v>462</v>
      </c>
      <c r="J158">
        <v>0</v>
      </c>
      <c r="K158">
        <v>440</v>
      </c>
      <c r="L158">
        <v>421</v>
      </c>
      <c r="M158">
        <v>19</v>
      </c>
      <c r="N158">
        <v>19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19</v>
      </c>
      <c r="Z158">
        <v>0</v>
      </c>
      <c r="AA158">
        <v>0</v>
      </c>
      <c r="AB158">
        <v>19</v>
      </c>
      <c r="AC158">
        <v>1</v>
      </c>
      <c r="AD158">
        <v>18</v>
      </c>
      <c r="AE158">
        <v>1</v>
      </c>
      <c r="AF158">
        <v>1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1</v>
      </c>
      <c r="AQ158">
        <v>1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1</v>
      </c>
      <c r="BB158">
        <v>1</v>
      </c>
      <c r="BC158">
        <v>2</v>
      </c>
      <c r="BD158">
        <v>0</v>
      </c>
      <c r="BE158">
        <v>1</v>
      </c>
      <c r="BF158">
        <v>0</v>
      </c>
      <c r="BG158">
        <v>1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2</v>
      </c>
      <c r="BO158">
        <v>8</v>
      </c>
      <c r="BP158">
        <v>6</v>
      </c>
      <c r="BQ158">
        <v>0</v>
      </c>
      <c r="BR158">
        <v>0</v>
      </c>
      <c r="BS158">
        <v>1</v>
      </c>
      <c r="BT158">
        <v>0</v>
      </c>
      <c r="BU158">
        <v>0</v>
      </c>
      <c r="BV158">
        <v>0</v>
      </c>
      <c r="BW158">
        <v>1</v>
      </c>
      <c r="BX158">
        <v>0</v>
      </c>
      <c r="BY158">
        <v>0</v>
      </c>
      <c r="BZ158">
        <v>8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1</v>
      </c>
      <c r="CZ158">
        <v>1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1</v>
      </c>
      <c r="DK158">
        <v>5</v>
      </c>
      <c r="DL158">
        <v>1</v>
      </c>
      <c r="DM158">
        <v>2</v>
      </c>
      <c r="DN158">
        <v>0</v>
      </c>
      <c r="DO158">
        <v>1</v>
      </c>
      <c r="DP158">
        <v>0</v>
      </c>
      <c r="DQ158">
        <v>0</v>
      </c>
      <c r="DR158">
        <v>1</v>
      </c>
      <c r="DS158">
        <v>0</v>
      </c>
      <c r="DT158">
        <v>0</v>
      </c>
      <c r="DU158">
        <v>0</v>
      </c>
      <c r="DV158">
        <v>5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</row>
    <row r="159" spans="1:172" ht="14.25">
      <c r="A159">
        <v>154</v>
      </c>
      <c r="B159" t="str">
        <f t="shared" si="23"/>
        <v>101401</v>
      </c>
      <c r="C159" t="str">
        <f t="shared" si="24"/>
        <v>m. Sieradz</v>
      </c>
      <c r="D159" t="str">
        <f t="shared" si="25"/>
        <v>sieradzki</v>
      </c>
      <c r="E159" t="str">
        <f t="shared" si="22"/>
        <v>łódzkie</v>
      </c>
      <c r="F159">
        <v>25</v>
      </c>
      <c r="G159" t="str">
        <f>"Szpital Wojewódzki im. Prymasa Kardynała Stefana Wyszyńskiego w Sieradzu, Nenckiego 2, 98-200 Sieradz"</f>
        <v>Szpital Wojewódzki im. Prymasa Kardynała Stefana Wyszyńskiego w Sieradzu, Nenckiego 2, 98-200 Sieradz</v>
      </c>
      <c r="H159">
        <v>150</v>
      </c>
      <c r="I159">
        <v>150</v>
      </c>
      <c r="J159">
        <v>0</v>
      </c>
      <c r="K159">
        <v>182</v>
      </c>
      <c r="L159">
        <v>155</v>
      </c>
      <c r="M159">
        <v>27</v>
      </c>
      <c r="N159">
        <v>27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27</v>
      </c>
      <c r="Z159">
        <v>0</v>
      </c>
      <c r="AA159">
        <v>0</v>
      </c>
      <c r="AB159">
        <v>27</v>
      </c>
      <c r="AC159">
        <v>1</v>
      </c>
      <c r="AD159">
        <v>26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6</v>
      </c>
      <c r="BD159">
        <v>2</v>
      </c>
      <c r="BE159">
        <v>0</v>
      </c>
      <c r="BF159">
        <v>4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6</v>
      </c>
      <c r="BO159">
        <v>14</v>
      </c>
      <c r="BP159">
        <v>9</v>
      </c>
      <c r="BQ159">
        <v>0</v>
      </c>
      <c r="BR159">
        <v>2</v>
      </c>
      <c r="BS159">
        <v>1</v>
      </c>
      <c r="BT159">
        <v>0</v>
      </c>
      <c r="BU159">
        <v>0</v>
      </c>
      <c r="BV159">
        <v>1</v>
      </c>
      <c r="BW159">
        <v>0</v>
      </c>
      <c r="BX159">
        <v>1</v>
      </c>
      <c r="BY159">
        <v>0</v>
      </c>
      <c r="BZ159">
        <v>14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1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1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2</v>
      </c>
      <c r="DL159">
        <v>1</v>
      </c>
      <c r="DM159">
        <v>0</v>
      </c>
      <c r="DN159">
        <v>1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2</v>
      </c>
      <c r="DW159">
        <v>3</v>
      </c>
      <c r="DX159">
        <v>1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2</v>
      </c>
      <c r="EE159">
        <v>0</v>
      </c>
      <c r="EF159">
        <v>0</v>
      </c>
      <c r="EG159">
        <v>0</v>
      </c>
      <c r="EH159">
        <v>3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</row>
    <row r="160" spans="1:172" ht="14.25">
      <c r="A160">
        <v>155</v>
      </c>
      <c r="B160" t="str">
        <f t="shared" si="23"/>
        <v>101401</v>
      </c>
      <c r="C160" t="str">
        <f t="shared" si="24"/>
        <v>m. Sieradz</v>
      </c>
      <c r="D160" t="str">
        <f t="shared" si="25"/>
        <v>sieradzki</v>
      </c>
      <c r="E160" t="str">
        <f t="shared" si="22"/>
        <v>łódzkie</v>
      </c>
      <c r="F160">
        <v>26</v>
      </c>
      <c r="G160" t="str">
        <f>"Zakład Karny Sieradz, Orzechowa 5, 98-200 Sieradz"</f>
        <v>Zakład Karny Sieradz, Orzechowa 5, 98-200 Sieradz</v>
      </c>
      <c r="H160">
        <v>753</v>
      </c>
      <c r="I160">
        <v>753</v>
      </c>
      <c r="J160">
        <v>0</v>
      </c>
      <c r="K160">
        <v>902</v>
      </c>
      <c r="L160">
        <v>647</v>
      </c>
      <c r="M160">
        <v>255</v>
      </c>
      <c r="N160">
        <v>255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255</v>
      </c>
      <c r="Z160">
        <v>0</v>
      </c>
      <c r="AA160">
        <v>0</v>
      </c>
      <c r="AB160">
        <v>255</v>
      </c>
      <c r="AC160">
        <v>26</v>
      </c>
      <c r="AD160">
        <v>229</v>
      </c>
      <c r="AE160">
        <v>9</v>
      </c>
      <c r="AF160">
        <v>2</v>
      </c>
      <c r="AG160">
        <v>0</v>
      </c>
      <c r="AH160">
        <v>1</v>
      </c>
      <c r="AI160">
        <v>2</v>
      </c>
      <c r="AJ160">
        <v>0</v>
      </c>
      <c r="AK160">
        <v>0</v>
      </c>
      <c r="AL160">
        <v>2</v>
      </c>
      <c r="AM160">
        <v>1</v>
      </c>
      <c r="AN160">
        <v>1</v>
      </c>
      <c r="AO160">
        <v>0</v>
      </c>
      <c r="AP160">
        <v>9</v>
      </c>
      <c r="AQ160">
        <v>25</v>
      </c>
      <c r="AR160">
        <v>9</v>
      </c>
      <c r="AS160">
        <v>1</v>
      </c>
      <c r="AT160">
        <v>0</v>
      </c>
      <c r="AU160">
        <v>0</v>
      </c>
      <c r="AV160">
        <v>3</v>
      </c>
      <c r="AW160">
        <v>7</v>
      </c>
      <c r="AX160">
        <v>2</v>
      </c>
      <c r="AY160">
        <v>1</v>
      </c>
      <c r="AZ160">
        <v>1</v>
      </c>
      <c r="BA160">
        <v>1</v>
      </c>
      <c r="BB160">
        <v>25</v>
      </c>
      <c r="BC160">
        <v>19</v>
      </c>
      <c r="BD160">
        <v>8</v>
      </c>
      <c r="BE160">
        <v>2</v>
      </c>
      <c r="BF160">
        <v>0</v>
      </c>
      <c r="BG160">
        <v>1</v>
      </c>
      <c r="BH160">
        <v>1</v>
      </c>
      <c r="BI160">
        <v>3</v>
      </c>
      <c r="BJ160">
        <v>0</v>
      </c>
      <c r="BK160">
        <v>3</v>
      </c>
      <c r="BL160">
        <v>0</v>
      </c>
      <c r="BM160">
        <v>1</v>
      </c>
      <c r="BN160">
        <v>19</v>
      </c>
      <c r="BO160">
        <v>22</v>
      </c>
      <c r="BP160">
        <v>9</v>
      </c>
      <c r="BQ160">
        <v>4</v>
      </c>
      <c r="BR160">
        <v>1</v>
      </c>
      <c r="BS160">
        <v>2</v>
      </c>
      <c r="BT160">
        <v>1</v>
      </c>
      <c r="BU160">
        <v>0</v>
      </c>
      <c r="BV160">
        <v>2</v>
      </c>
      <c r="BW160">
        <v>1</v>
      </c>
      <c r="BX160">
        <v>0</v>
      </c>
      <c r="BY160">
        <v>2</v>
      </c>
      <c r="BZ160">
        <v>22</v>
      </c>
      <c r="CA160">
        <v>32</v>
      </c>
      <c r="CB160">
        <v>5</v>
      </c>
      <c r="CC160">
        <v>3</v>
      </c>
      <c r="CD160">
        <v>2</v>
      </c>
      <c r="CE160">
        <v>3</v>
      </c>
      <c r="CF160">
        <v>2</v>
      </c>
      <c r="CG160">
        <v>2</v>
      </c>
      <c r="CH160">
        <v>1</v>
      </c>
      <c r="CI160">
        <v>4</v>
      </c>
      <c r="CJ160">
        <v>7</v>
      </c>
      <c r="CK160">
        <v>3</v>
      </c>
      <c r="CL160">
        <v>32</v>
      </c>
      <c r="CM160">
        <v>2</v>
      </c>
      <c r="CN160">
        <v>1</v>
      </c>
      <c r="CO160">
        <v>0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2</v>
      </c>
      <c r="CY160">
        <v>14</v>
      </c>
      <c r="CZ160">
        <v>6</v>
      </c>
      <c r="DA160">
        <v>0</v>
      </c>
      <c r="DB160">
        <v>2</v>
      </c>
      <c r="DC160">
        <v>2</v>
      </c>
      <c r="DD160">
        <v>0</v>
      </c>
      <c r="DE160">
        <v>0</v>
      </c>
      <c r="DF160">
        <v>3</v>
      </c>
      <c r="DG160">
        <v>1</v>
      </c>
      <c r="DH160">
        <v>0</v>
      </c>
      <c r="DI160">
        <v>0</v>
      </c>
      <c r="DJ160">
        <v>14</v>
      </c>
      <c r="DK160">
        <v>82</v>
      </c>
      <c r="DL160">
        <v>17</v>
      </c>
      <c r="DM160">
        <v>38</v>
      </c>
      <c r="DN160">
        <v>3</v>
      </c>
      <c r="DO160">
        <v>11</v>
      </c>
      <c r="DP160">
        <v>3</v>
      </c>
      <c r="DQ160">
        <v>2</v>
      </c>
      <c r="DR160">
        <v>0</v>
      </c>
      <c r="DS160">
        <v>3</v>
      </c>
      <c r="DT160">
        <v>3</v>
      </c>
      <c r="DU160">
        <v>2</v>
      </c>
      <c r="DV160">
        <v>82</v>
      </c>
      <c r="DW160">
        <v>16</v>
      </c>
      <c r="DX160">
        <v>8</v>
      </c>
      <c r="DY160">
        <v>1</v>
      </c>
      <c r="DZ160">
        <v>1</v>
      </c>
      <c r="EA160">
        <v>0</v>
      </c>
      <c r="EB160">
        <v>0</v>
      </c>
      <c r="EC160">
        <v>0</v>
      </c>
      <c r="ED160">
        <v>4</v>
      </c>
      <c r="EE160">
        <v>2</v>
      </c>
      <c r="EF160">
        <v>0</v>
      </c>
      <c r="EG160">
        <v>0</v>
      </c>
      <c r="EH160">
        <v>16</v>
      </c>
      <c r="EI160">
        <v>2</v>
      </c>
      <c r="EJ160">
        <v>0</v>
      </c>
      <c r="EK160">
        <v>1</v>
      </c>
      <c r="EL160">
        <v>0</v>
      </c>
      <c r="EM160">
        <v>0</v>
      </c>
      <c r="EN160">
        <v>0</v>
      </c>
      <c r="EO160">
        <v>0</v>
      </c>
      <c r="EP160">
        <v>1</v>
      </c>
      <c r="EQ160">
        <v>0</v>
      </c>
      <c r="ER160">
        <v>2</v>
      </c>
      <c r="ES160">
        <v>3</v>
      </c>
      <c r="ET160">
        <v>2</v>
      </c>
      <c r="EU160">
        <v>1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3</v>
      </c>
      <c r="FE160">
        <v>3</v>
      </c>
      <c r="FF160">
        <v>1</v>
      </c>
      <c r="FG160">
        <v>0</v>
      </c>
      <c r="FH160">
        <v>0</v>
      </c>
      <c r="FI160">
        <v>1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1</v>
      </c>
      <c r="FP160">
        <v>3</v>
      </c>
    </row>
    <row r="161" spans="1:172" ht="14.25">
      <c r="A161">
        <v>156</v>
      </c>
      <c r="B161" t="str">
        <f t="shared" si="23"/>
        <v>101401</v>
      </c>
      <c r="C161" t="str">
        <f t="shared" si="24"/>
        <v>m. Sieradz</v>
      </c>
      <c r="D161" t="str">
        <f t="shared" si="25"/>
        <v>sieradzki</v>
      </c>
      <c r="E161" t="str">
        <f t="shared" si="22"/>
        <v>łódzkie</v>
      </c>
      <c r="F161">
        <v>27</v>
      </c>
      <c r="G161" t="str">
        <f>"Zakład Karny Sieradz, Torowa 2, Sieradz Sieradz"</f>
        <v>Zakład Karny Sieradz, Torowa 2, Sieradz Sieradz</v>
      </c>
      <c r="H161">
        <v>126</v>
      </c>
      <c r="I161">
        <v>126</v>
      </c>
      <c r="J161">
        <v>0</v>
      </c>
      <c r="K161">
        <v>120</v>
      </c>
      <c r="L161">
        <v>66</v>
      </c>
      <c r="M161">
        <v>54</v>
      </c>
      <c r="N161">
        <v>54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54</v>
      </c>
      <c r="Z161">
        <v>0</v>
      </c>
      <c r="AA161">
        <v>0</v>
      </c>
      <c r="AB161">
        <v>54</v>
      </c>
      <c r="AC161">
        <v>11</v>
      </c>
      <c r="AD161">
        <v>43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4</v>
      </c>
      <c r="BD161">
        <v>1</v>
      </c>
      <c r="BE161">
        <v>2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4</v>
      </c>
      <c r="BO161">
        <v>7</v>
      </c>
      <c r="BP161">
        <v>2</v>
      </c>
      <c r="BQ161">
        <v>0</v>
      </c>
      <c r="BR161">
        <v>0</v>
      </c>
      <c r="BS161">
        <v>1</v>
      </c>
      <c r="BT161">
        <v>0</v>
      </c>
      <c r="BU161">
        <v>0</v>
      </c>
      <c r="BV161">
        <v>2</v>
      </c>
      <c r="BW161">
        <v>1</v>
      </c>
      <c r="BX161">
        <v>0</v>
      </c>
      <c r="BY161">
        <v>1</v>
      </c>
      <c r="BZ161">
        <v>7</v>
      </c>
      <c r="CA161">
        <v>12</v>
      </c>
      <c r="CB161">
        <v>8</v>
      </c>
      <c r="CC161">
        <v>1</v>
      </c>
      <c r="CD161">
        <v>0</v>
      </c>
      <c r="CE161">
        <v>0</v>
      </c>
      <c r="CF161">
        <v>2</v>
      </c>
      <c r="CG161">
        <v>0</v>
      </c>
      <c r="CH161">
        <v>0</v>
      </c>
      <c r="CI161">
        <v>1</v>
      </c>
      <c r="CJ161">
        <v>0</v>
      </c>
      <c r="CK161">
        <v>0</v>
      </c>
      <c r="CL161">
        <v>12</v>
      </c>
      <c r="CM161">
        <v>3</v>
      </c>
      <c r="CN161">
        <v>3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3</v>
      </c>
      <c r="CY161">
        <v>1</v>
      </c>
      <c r="CZ161">
        <v>1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1</v>
      </c>
      <c r="DK161">
        <v>9</v>
      </c>
      <c r="DL161">
        <v>2</v>
      </c>
      <c r="DM161">
        <v>2</v>
      </c>
      <c r="DN161">
        <v>0</v>
      </c>
      <c r="DO161">
        <v>1</v>
      </c>
      <c r="DP161">
        <v>1</v>
      </c>
      <c r="DQ161">
        <v>0</v>
      </c>
      <c r="DR161">
        <v>1</v>
      </c>
      <c r="DS161">
        <v>1</v>
      </c>
      <c r="DT161">
        <v>1</v>
      </c>
      <c r="DU161">
        <v>0</v>
      </c>
      <c r="DV161">
        <v>9</v>
      </c>
      <c r="DW161">
        <v>5</v>
      </c>
      <c r="DX161">
        <v>0</v>
      </c>
      <c r="DY161">
        <v>2</v>
      </c>
      <c r="DZ161">
        <v>0</v>
      </c>
      <c r="EA161">
        <v>0</v>
      </c>
      <c r="EB161">
        <v>0</v>
      </c>
      <c r="EC161">
        <v>0</v>
      </c>
      <c r="ED161">
        <v>1</v>
      </c>
      <c r="EE161">
        <v>1</v>
      </c>
      <c r="EF161">
        <v>0</v>
      </c>
      <c r="EG161">
        <v>1</v>
      </c>
      <c r="EH161">
        <v>5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1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1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1</v>
      </c>
      <c r="FN161">
        <v>0</v>
      </c>
      <c r="FO161">
        <v>0</v>
      </c>
      <c r="FP161">
        <v>1</v>
      </c>
    </row>
    <row r="162" spans="1:172" ht="14.25">
      <c r="A162">
        <v>157</v>
      </c>
      <c r="B162" t="str">
        <f aca="true" t="shared" si="26" ref="B162:B172">"101402"</f>
        <v>101402</v>
      </c>
      <c r="C162" t="str">
        <f aca="true" t="shared" si="27" ref="C162:C172">"Błaszki"</f>
        <v>Błaszki</v>
      </c>
      <c r="D162" t="str">
        <f t="shared" si="25"/>
        <v>sieradzki</v>
      </c>
      <c r="E162" t="str">
        <f t="shared" si="22"/>
        <v>łódzkie</v>
      </c>
      <c r="F162">
        <v>1</v>
      </c>
      <c r="G162" t="str">
        <f>"Szkoła Podstawowa, Szkolna 1, 98-235 Błaszki"</f>
        <v>Szkoła Podstawowa, Szkolna 1, 98-235 Błaszki</v>
      </c>
      <c r="H162">
        <v>1892</v>
      </c>
      <c r="I162">
        <v>1892</v>
      </c>
      <c r="J162">
        <v>0</v>
      </c>
      <c r="K162">
        <v>1330</v>
      </c>
      <c r="L162">
        <v>877</v>
      </c>
      <c r="M162">
        <v>453</v>
      </c>
      <c r="N162">
        <v>453</v>
      </c>
      <c r="O162">
        <v>0</v>
      </c>
      <c r="P162">
        <v>0</v>
      </c>
      <c r="Q162">
        <v>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453</v>
      </c>
      <c r="Z162">
        <v>0</v>
      </c>
      <c r="AA162">
        <v>0</v>
      </c>
      <c r="AB162">
        <v>453</v>
      </c>
      <c r="AC162">
        <v>15</v>
      </c>
      <c r="AD162">
        <v>438</v>
      </c>
      <c r="AE162">
        <v>17</v>
      </c>
      <c r="AF162">
        <v>10</v>
      </c>
      <c r="AG162">
        <v>3</v>
      </c>
      <c r="AH162">
        <v>2</v>
      </c>
      <c r="AI162">
        <v>0</v>
      </c>
      <c r="AJ162">
        <v>0</v>
      </c>
      <c r="AK162">
        <v>0</v>
      </c>
      <c r="AL162">
        <v>2</v>
      </c>
      <c r="AM162">
        <v>0</v>
      </c>
      <c r="AN162">
        <v>0</v>
      </c>
      <c r="AO162">
        <v>0</v>
      </c>
      <c r="AP162">
        <v>17</v>
      </c>
      <c r="AQ162">
        <v>11</v>
      </c>
      <c r="AR162">
        <v>5</v>
      </c>
      <c r="AS162">
        <v>1</v>
      </c>
      <c r="AT162">
        <v>0</v>
      </c>
      <c r="AU162">
        <v>1</v>
      </c>
      <c r="AV162">
        <v>1</v>
      </c>
      <c r="AW162">
        <v>1</v>
      </c>
      <c r="AX162">
        <v>1</v>
      </c>
      <c r="AY162">
        <v>0</v>
      </c>
      <c r="AZ162">
        <v>1</v>
      </c>
      <c r="BA162">
        <v>0</v>
      </c>
      <c r="BB162">
        <v>11</v>
      </c>
      <c r="BC162">
        <v>38</v>
      </c>
      <c r="BD162">
        <v>14</v>
      </c>
      <c r="BE162">
        <v>6</v>
      </c>
      <c r="BF162">
        <v>8</v>
      </c>
      <c r="BG162">
        <v>1</v>
      </c>
      <c r="BH162">
        <v>3</v>
      </c>
      <c r="BI162">
        <v>2</v>
      </c>
      <c r="BJ162">
        <v>0</v>
      </c>
      <c r="BK162">
        <v>0</v>
      </c>
      <c r="BL162">
        <v>2</v>
      </c>
      <c r="BM162">
        <v>2</v>
      </c>
      <c r="BN162">
        <v>38</v>
      </c>
      <c r="BO162">
        <v>176</v>
      </c>
      <c r="BP162">
        <v>133</v>
      </c>
      <c r="BQ162">
        <v>4</v>
      </c>
      <c r="BR162">
        <v>9</v>
      </c>
      <c r="BS162">
        <v>22</v>
      </c>
      <c r="BT162">
        <v>2</v>
      </c>
      <c r="BU162">
        <v>0</v>
      </c>
      <c r="BV162">
        <v>2</v>
      </c>
      <c r="BW162">
        <v>1</v>
      </c>
      <c r="BX162">
        <v>2</v>
      </c>
      <c r="BY162">
        <v>1</v>
      </c>
      <c r="BZ162">
        <v>176</v>
      </c>
      <c r="CA162">
        <v>10</v>
      </c>
      <c r="CB162">
        <v>6</v>
      </c>
      <c r="CC162">
        <v>2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2</v>
      </c>
      <c r="CK162">
        <v>0</v>
      </c>
      <c r="CL162">
        <v>10</v>
      </c>
      <c r="CM162">
        <v>14</v>
      </c>
      <c r="CN162">
        <v>11</v>
      </c>
      <c r="CO162">
        <v>1</v>
      </c>
      <c r="CP162">
        <v>1</v>
      </c>
      <c r="CQ162">
        <v>1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14</v>
      </c>
      <c r="CY162">
        <v>28</v>
      </c>
      <c r="CZ162">
        <v>16</v>
      </c>
      <c r="DA162">
        <v>1</v>
      </c>
      <c r="DB162">
        <v>3</v>
      </c>
      <c r="DC162">
        <v>0</v>
      </c>
      <c r="DD162">
        <v>3</v>
      </c>
      <c r="DE162">
        <v>3</v>
      </c>
      <c r="DF162">
        <v>0</v>
      </c>
      <c r="DG162">
        <v>0</v>
      </c>
      <c r="DH162">
        <v>2</v>
      </c>
      <c r="DI162">
        <v>0</v>
      </c>
      <c r="DJ162">
        <v>28</v>
      </c>
      <c r="DK162">
        <v>91</v>
      </c>
      <c r="DL162">
        <v>61</v>
      </c>
      <c r="DM162">
        <v>14</v>
      </c>
      <c r="DN162">
        <v>0</v>
      </c>
      <c r="DO162">
        <v>7</v>
      </c>
      <c r="DP162">
        <v>5</v>
      </c>
      <c r="DQ162">
        <v>3</v>
      </c>
      <c r="DR162">
        <v>1</v>
      </c>
      <c r="DS162">
        <v>0</v>
      </c>
      <c r="DT162">
        <v>0</v>
      </c>
      <c r="DU162">
        <v>0</v>
      </c>
      <c r="DV162">
        <v>91</v>
      </c>
      <c r="DW162">
        <v>47</v>
      </c>
      <c r="DX162">
        <v>4</v>
      </c>
      <c r="DY162">
        <v>1</v>
      </c>
      <c r="DZ162">
        <v>0</v>
      </c>
      <c r="EA162">
        <v>40</v>
      </c>
      <c r="EB162">
        <v>0</v>
      </c>
      <c r="EC162">
        <v>1</v>
      </c>
      <c r="ED162">
        <v>1</v>
      </c>
      <c r="EE162">
        <v>0</v>
      </c>
      <c r="EF162">
        <v>0</v>
      </c>
      <c r="EG162">
        <v>0</v>
      </c>
      <c r="EH162">
        <v>47</v>
      </c>
      <c r="EI162">
        <v>1</v>
      </c>
      <c r="EJ162">
        <v>0</v>
      </c>
      <c r="EK162">
        <v>1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1</v>
      </c>
      <c r="ES162">
        <v>3</v>
      </c>
      <c r="ET162">
        <v>1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2</v>
      </c>
      <c r="FB162">
        <v>0</v>
      </c>
      <c r="FC162">
        <v>0</v>
      </c>
      <c r="FD162">
        <v>3</v>
      </c>
      <c r="FE162">
        <v>2</v>
      </c>
      <c r="FF162">
        <v>0</v>
      </c>
      <c r="FG162">
        <v>0</v>
      </c>
      <c r="FH162">
        <v>0</v>
      </c>
      <c r="FI162">
        <v>1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1</v>
      </c>
      <c r="FP162">
        <v>2</v>
      </c>
    </row>
    <row r="163" spans="1:172" ht="14.25">
      <c r="A163">
        <v>158</v>
      </c>
      <c r="B163" t="str">
        <f t="shared" si="26"/>
        <v>101402</v>
      </c>
      <c r="C163" t="str">
        <f t="shared" si="27"/>
        <v>Błaszki</v>
      </c>
      <c r="D163" t="str">
        <f t="shared" si="25"/>
        <v>sieradzki</v>
      </c>
      <c r="E163" t="str">
        <f t="shared" si="22"/>
        <v>łódzkie</v>
      </c>
      <c r="F163">
        <v>2</v>
      </c>
      <c r="G163" t="str">
        <f>"Szkoła Podstawowa, Łubna-Jakusy 30, 98-235 Błaszki"</f>
        <v>Szkoła Podstawowa, Łubna-Jakusy 30, 98-235 Błaszki</v>
      </c>
      <c r="H163">
        <v>824</v>
      </c>
      <c r="I163">
        <v>824</v>
      </c>
      <c r="J163">
        <v>0</v>
      </c>
      <c r="K163">
        <v>580</v>
      </c>
      <c r="L163">
        <v>461</v>
      </c>
      <c r="M163">
        <v>119</v>
      </c>
      <c r="N163">
        <v>119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119</v>
      </c>
      <c r="Z163">
        <v>0</v>
      </c>
      <c r="AA163">
        <v>0</v>
      </c>
      <c r="AB163">
        <v>119</v>
      </c>
      <c r="AC163">
        <v>6</v>
      </c>
      <c r="AD163">
        <v>113</v>
      </c>
      <c r="AE163">
        <v>1</v>
      </c>
      <c r="AF163">
        <v>1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1</v>
      </c>
      <c r="AQ163">
        <v>1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1</v>
      </c>
      <c r="BC163">
        <v>3</v>
      </c>
      <c r="BD163">
        <v>0</v>
      </c>
      <c r="BE163">
        <v>0</v>
      </c>
      <c r="BF163">
        <v>1</v>
      </c>
      <c r="BG163">
        <v>0</v>
      </c>
      <c r="BH163">
        <v>0</v>
      </c>
      <c r="BI163">
        <v>2</v>
      </c>
      <c r="BJ163">
        <v>0</v>
      </c>
      <c r="BK163">
        <v>0</v>
      </c>
      <c r="BL163">
        <v>0</v>
      </c>
      <c r="BM163">
        <v>0</v>
      </c>
      <c r="BN163">
        <v>3</v>
      </c>
      <c r="BO163">
        <v>47</v>
      </c>
      <c r="BP163">
        <v>35</v>
      </c>
      <c r="BQ163">
        <v>0</v>
      </c>
      <c r="BR163">
        <v>3</v>
      </c>
      <c r="BS163">
        <v>9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47</v>
      </c>
      <c r="CA163">
        <v>3</v>
      </c>
      <c r="CB163">
        <v>1</v>
      </c>
      <c r="CC163">
        <v>1</v>
      </c>
      <c r="CD163">
        <v>0</v>
      </c>
      <c r="CE163">
        <v>1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3</v>
      </c>
      <c r="CM163">
        <v>1</v>
      </c>
      <c r="CN163">
        <v>0</v>
      </c>
      <c r="CO163">
        <v>1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1</v>
      </c>
      <c r="CY163">
        <v>6</v>
      </c>
      <c r="CZ163">
        <v>3</v>
      </c>
      <c r="DA163">
        <v>0</v>
      </c>
      <c r="DB163">
        <v>1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1</v>
      </c>
      <c r="DJ163">
        <v>6</v>
      </c>
      <c r="DK163">
        <v>12</v>
      </c>
      <c r="DL163">
        <v>9</v>
      </c>
      <c r="DM163">
        <v>2</v>
      </c>
      <c r="DN163">
        <v>0</v>
      </c>
      <c r="DO163">
        <v>1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12</v>
      </c>
      <c r="DW163">
        <v>37</v>
      </c>
      <c r="DX163">
        <v>0</v>
      </c>
      <c r="DY163">
        <v>1</v>
      </c>
      <c r="DZ163">
        <v>0</v>
      </c>
      <c r="EA163">
        <v>32</v>
      </c>
      <c r="EB163">
        <v>1</v>
      </c>
      <c r="EC163">
        <v>1</v>
      </c>
      <c r="ED163">
        <v>1</v>
      </c>
      <c r="EE163">
        <v>0</v>
      </c>
      <c r="EF163">
        <v>1</v>
      </c>
      <c r="EG163">
        <v>0</v>
      </c>
      <c r="EH163">
        <v>37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2</v>
      </c>
      <c r="ET163">
        <v>1</v>
      </c>
      <c r="EU163">
        <v>0</v>
      </c>
      <c r="EV163">
        <v>1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2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</row>
    <row r="164" spans="1:172" ht="14.25">
      <c r="A164">
        <v>159</v>
      </c>
      <c r="B164" t="str">
        <f t="shared" si="26"/>
        <v>101402</v>
      </c>
      <c r="C164" t="str">
        <f t="shared" si="27"/>
        <v>Błaszki</v>
      </c>
      <c r="D164" t="str">
        <f t="shared" si="25"/>
        <v>sieradzki</v>
      </c>
      <c r="E164" t="str">
        <f t="shared" si="22"/>
        <v>łódzkie</v>
      </c>
      <c r="F164">
        <v>3</v>
      </c>
      <c r="G164" t="str">
        <f>"Miejsko-Gminna Biblioteka Publiczna, Sulwińskiego 35, 98-235 Błaszki"</f>
        <v>Miejsko-Gminna Biblioteka Publiczna, Sulwińskiego 35, 98-235 Błaszki</v>
      </c>
      <c r="H164">
        <v>1562</v>
      </c>
      <c r="I164">
        <v>1562</v>
      </c>
      <c r="J164">
        <v>0</v>
      </c>
      <c r="K164">
        <v>1100</v>
      </c>
      <c r="L164">
        <v>846</v>
      </c>
      <c r="M164">
        <v>254</v>
      </c>
      <c r="N164">
        <v>254</v>
      </c>
      <c r="O164">
        <v>0</v>
      </c>
      <c r="P164">
        <v>0</v>
      </c>
      <c r="Q164">
        <v>7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254</v>
      </c>
      <c r="Z164">
        <v>0</v>
      </c>
      <c r="AA164">
        <v>0</v>
      </c>
      <c r="AB164">
        <v>254</v>
      </c>
      <c r="AC164">
        <v>5</v>
      </c>
      <c r="AD164">
        <v>249</v>
      </c>
      <c r="AE164">
        <v>12</v>
      </c>
      <c r="AF164">
        <v>5</v>
      </c>
      <c r="AG164">
        <v>6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12</v>
      </c>
      <c r="AQ164">
        <v>3</v>
      </c>
      <c r="AR164">
        <v>1</v>
      </c>
      <c r="AS164">
        <v>0</v>
      </c>
      <c r="AT164">
        <v>2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3</v>
      </c>
      <c r="BC164">
        <v>12</v>
      </c>
      <c r="BD164">
        <v>9</v>
      </c>
      <c r="BE164">
        <v>2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1</v>
      </c>
      <c r="BL164">
        <v>0</v>
      </c>
      <c r="BM164">
        <v>0</v>
      </c>
      <c r="BN164">
        <v>12</v>
      </c>
      <c r="BO164">
        <v>112</v>
      </c>
      <c r="BP164">
        <v>74</v>
      </c>
      <c r="BQ164">
        <v>5</v>
      </c>
      <c r="BR164">
        <v>2</v>
      </c>
      <c r="BS164">
        <v>26</v>
      </c>
      <c r="BT164">
        <v>0</v>
      </c>
      <c r="BU164">
        <v>0</v>
      </c>
      <c r="BV164">
        <v>2</v>
      </c>
      <c r="BW164">
        <v>1</v>
      </c>
      <c r="BX164">
        <v>1</v>
      </c>
      <c r="BY164">
        <v>1</v>
      </c>
      <c r="BZ164">
        <v>112</v>
      </c>
      <c r="CA164">
        <v>2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2</v>
      </c>
      <c r="CK164">
        <v>0</v>
      </c>
      <c r="CL164">
        <v>2</v>
      </c>
      <c r="CM164">
        <v>2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0</v>
      </c>
      <c r="CW164">
        <v>0</v>
      </c>
      <c r="CX164">
        <v>2</v>
      </c>
      <c r="CY164">
        <v>17</v>
      </c>
      <c r="CZ164">
        <v>10</v>
      </c>
      <c r="DA164">
        <v>1</v>
      </c>
      <c r="DB164">
        <v>0</v>
      </c>
      <c r="DC164">
        <v>1</v>
      </c>
      <c r="DD164">
        <v>2</v>
      </c>
      <c r="DE164">
        <v>0</v>
      </c>
      <c r="DF164">
        <v>0</v>
      </c>
      <c r="DG164">
        <v>0</v>
      </c>
      <c r="DH164">
        <v>2</v>
      </c>
      <c r="DI164">
        <v>1</v>
      </c>
      <c r="DJ164">
        <v>17</v>
      </c>
      <c r="DK164">
        <v>34</v>
      </c>
      <c r="DL164">
        <v>19</v>
      </c>
      <c r="DM164">
        <v>3</v>
      </c>
      <c r="DN164">
        <v>0</v>
      </c>
      <c r="DO164">
        <v>8</v>
      </c>
      <c r="DP164">
        <v>1</v>
      </c>
      <c r="DQ164">
        <v>1</v>
      </c>
      <c r="DR164">
        <v>0</v>
      </c>
      <c r="DS164">
        <v>0</v>
      </c>
      <c r="DT164">
        <v>0</v>
      </c>
      <c r="DU164">
        <v>2</v>
      </c>
      <c r="DV164">
        <v>34</v>
      </c>
      <c r="DW164">
        <v>51</v>
      </c>
      <c r="DX164">
        <v>8</v>
      </c>
      <c r="DY164">
        <v>3</v>
      </c>
      <c r="DZ164">
        <v>0</v>
      </c>
      <c r="EA164">
        <v>33</v>
      </c>
      <c r="EB164">
        <v>0</v>
      </c>
      <c r="EC164">
        <v>5</v>
      </c>
      <c r="ED164">
        <v>1</v>
      </c>
      <c r="EE164">
        <v>0</v>
      </c>
      <c r="EF164">
        <v>0</v>
      </c>
      <c r="EG164">
        <v>1</v>
      </c>
      <c r="EH164">
        <v>51</v>
      </c>
      <c r="EI164">
        <v>2</v>
      </c>
      <c r="EJ164">
        <v>1</v>
      </c>
      <c r="EK164">
        <v>1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2</v>
      </c>
      <c r="ES164">
        <v>2</v>
      </c>
      <c r="ET164">
        <v>0</v>
      </c>
      <c r="EU164">
        <v>1</v>
      </c>
      <c r="EV164">
        <v>0</v>
      </c>
      <c r="EW164">
        <v>0</v>
      </c>
      <c r="EX164">
        <v>0</v>
      </c>
      <c r="EY164">
        <v>1</v>
      </c>
      <c r="EZ164">
        <v>0</v>
      </c>
      <c r="FA164">
        <v>0</v>
      </c>
      <c r="FB164">
        <v>0</v>
      </c>
      <c r="FC164">
        <v>0</v>
      </c>
      <c r="FD164">
        <v>2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</row>
    <row r="165" spans="1:172" ht="14.25">
      <c r="A165">
        <v>160</v>
      </c>
      <c r="B165" t="str">
        <f t="shared" si="26"/>
        <v>101402</v>
      </c>
      <c r="C165" t="str">
        <f t="shared" si="27"/>
        <v>Błaszki</v>
      </c>
      <c r="D165" t="str">
        <f t="shared" si="25"/>
        <v>sieradzki</v>
      </c>
      <c r="E165" t="str">
        <f t="shared" si="22"/>
        <v>łódzkie</v>
      </c>
      <c r="F165">
        <v>4</v>
      </c>
      <c r="G165" t="s">
        <v>37</v>
      </c>
      <c r="H165">
        <v>1530</v>
      </c>
      <c r="I165">
        <v>1530</v>
      </c>
      <c r="J165">
        <v>0</v>
      </c>
      <c r="K165">
        <v>1070</v>
      </c>
      <c r="L165">
        <v>848</v>
      </c>
      <c r="M165">
        <v>222</v>
      </c>
      <c r="N165">
        <v>222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222</v>
      </c>
      <c r="Z165">
        <v>0</v>
      </c>
      <c r="AA165">
        <v>0</v>
      </c>
      <c r="AB165">
        <v>222</v>
      </c>
      <c r="AC165">
        <v>11</v>
      </c>
      <c r="AD165">
        <v>211</v>
      </c>
      <c r="AE165">
        <v>1</v>
      </c>
      <c r="AF165">
        <v>0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0</v>
      </c>
      <c r="AT165">
        <v>1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1</v>
      </c>
      <c r="BC165">
        <v>7</v>
      </c>
      <c r="BD165">
        <v>4</v>
      </c>
      <c r="BE165">
        <v>0</v>
      </c>
      <c r="BF165">
        <v>0</v>
      </c>
      <c r="BG165">
        <v>0</v>
      </c>
      <c r="BH165">
        <v>0</v>
      </c>
      <c r="BI165">
        <v>1</v>
      </c>
      <c r="BJ165">
        <v>0</v>
      </c>
      <c r="BK165">
        <v>0</v>
      </c>
      <c r="BL165">
        <v>1</v>
      </c>
      <c r="BM165">
        <v>1</v>
      </c>
      <c r="BN165">
        <v>7</v>
      </c>
      <c r="BO165">
        <v>111</v>
      </c>
      <c r="BP165">
        <v>64</v>
      </c>
      <c r="BQ165">
        <v>4</v>
      </c>
      <c r="BR165">
        <v>4</v>
      </c>
      <c r="BS165">
        <v>33</v>
      </c>
      <c r="BT165">
        <v>3</v>
      </c>
      <c r="BU165">
        <v>0</v>
      </c>
      <c r="BV165">
        <v>0</v>
      </c>
      <c r="BW165">
        <v>1</v>
      </c>
      <c r="BX165">
        <v>0</v>
      </c>
      <c r="BY165">
        <v>2</v>
      </c>
      <c r="BZ165">
        <v>111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2</v>
      </c>
      <c r="CN165">
        <v>1</v>
      </c>
      <c r="CO165">
        <v>0</v>
      </c>
      <c r="CP165">
        <v>0</v>
      </c>
      <c r="CQ165">
        <v>1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2</v>
      </c>
      <c r="CY165">
        <v>13</v>
      </c>
      <c r="CZ165">
        <v>8</v>
      </c>
      <c r="DA165">
        <v>0</v>
      </c>
      <c r="DB165">
        <v>4</v>
      </c>
      <c r="DC165">
        <v>0</v>
      </c>
      <c r="DD165">
        <v>0</v>
      </c>
      <c r="DE165">
        <v>0</v>
      </c>
      <c r="DF165">
        <v>0</v>
      </c>
      <c r="DG165">
        <v>1</v>
      </c>
      <c r="DH165">
        <v>0</v>
      </c>
      <c r="DI165">
        <v>0</v>
      </c>
      <c r="DJ165">
        <v>13</v>
      </c>
      <c r="DK165">
        <v>17</v>
      </c>
      <c r="DL165">
        <v>14</v>
      </c>
      <c r="DM165">
        <v>0</v>
      </c>
      <c r="DN165">
        <v>1</v>
      </c>
      <c r="DO165">
        <v>1</v>
      </c>
      <c r="DP165">
        <v>1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17</v>
      </c>
      <c r="DW165">
        <v>57</v>
      </c>
      <c r="DX165">
        <v>6</v>
      </c>
      <c r="DY165">
        <v>1</v>
      </c>
      <c r="DZ165">
        <v>0</v>
      </c>
      <c r="EA165">
        <v>39</v>
      </c>
      <c r="EB165">
        <v>0</v>
      </c>
      <c r="EC165">
        <v>1</v>
      </c>
      <c r="ED165">
        <v>7</v>
      </c>
      <c r="EE165">
        <v>0</v>
      </c>
      <c r="EF165">
        <v>3</v>
      </c>
      <c r="EG165">
        <v>0</v>
      </c>
      <c r="EH165">
        <v>57</v>
      </c>
      <c r="EI165">
        <v>1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1</v>
      </c>
      <c r="EQ165">
        <v>0</v>
      </c>
      <c r="ER165">
        <v>1</v>
      </c>
      <c r="ES165">
        <v>1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1</v>
      </c>
      <c r="FB165">
        <v>0</v>
      </c>
      <c r="FC165">
        <v>0</v>
      </c>
      <c r="FD165">
        <v>1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</row>
    <row r="166" spans="1:172" ht="14.25">
      <c r="A166">
        <v>161</v>
      </c>
      <c r="B166" t="str">
        <f t="shared" si="26"/>
        <v>101402</v>
      </c>
      <c r="C166" t="str">
        <f t="shared" si="27"/>
        <v>Błaszki</v>
      </c>
      <c r="D166" t="str">
        <f t="shared" si="25"/>
        <v>sieradzki</v>
      </c>
      <c r="E166" t="str">
        <f t="shared" si="22"/>
        <v>łódzkie</v>
      </c>
      <c r="F166">
        <v>5</v>
      </c>
      <c r="G166" t="str">
        <f>"Strażnica OSP, Brończyn, 98-235 Błaszki"</f>
        <v>Strażnica OSP, Brończyn, 98-235 Błaszki</v>
      </c>
      <c r="H166">
        <v>720</v>
      </c>
      <c r="I166">
        <v>720</v>
      </c>
      <c r="J166">
        <v>0</v>
      </c>
      <c r="K166">
        <v>510</v>
      </c>
      <c r="L166">
        <v>375</v>
      </c>
      <c r="M166">
        <v>135</v>
      </c>
      <c r="N166">
        <v>135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135</v>
      </c>
      <c r="Z166">
        <v>0</v>
      </c>
      <c r="AA166">
        <v>0</v>
      </c>
      <c r="AB166">
        <v>135</v>
      </c>
      <c r="AC166">
        <v>4</v>
      </c>
      <c r="AD166">
        <v>131</v>
      </c>
      <c r="AE166">
        <v>1</v>
      </c>
      <c r="AF166">
        <v>1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2</v>
      </c>
      <c r="AR166">
        <v>1</v>
      </c>
      <c r="AS166">
        <v>0</v>
      </c>
      <c r="AT166">
        <v>0</v>
      </c>
      <c r="AU166">
        <v>1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2</v>
      </c>
      <c r="BC166">
        <v>4</v>
      </c>
      <c r="BD166">
        <v>3</v>
      </c>
      <c r="BE166">
        <v>0</v>
      </c>
      <c r="BF166">
        <v>1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4</v>
      </c>
      <c r="BO166">
        <v>28</v>
      </c>
      <c r="BP166">
        <v>13</v>
      </c>
      <c r="BQ166">
        <v>1</v>
      </c>
      <c r="BR166">
        <v>1</v>
      </c>
      <c r="BS166">
        <v>13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28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3</v>
      </c>
      <c r="CN166">
        <v>1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1</v>
      </c>
      <c r="CX166">
        <v>3</v>
      </c>
      <c r="CY166">
        <v>7</v>
      </c>
      <c r="CZ166">
        <v>4</v>
      </c>
      <c r="DA166">
        <v>0</v>
      </c>
      <c r="DB166">
        <v>0</v>
      </c>
      <c r="DC166">
        <v>0</v>
      </c>
      <c r="DD166">
        <v>1</v>
      </c>
      <c r="DE166">
        <v>0</v>
      </c>
      <c r="DF166">
        <v>0</v>
      </c>
      <c r="DG166">
        <v>0</v>
      </c>
      <c r="DH166">
        <v>1</v>
      </c>
      <c r="DI166">
        <v>1</v>
      </c>
      <c r="DJ166">
        <v>7</v>
      </c>
      <c r="DK166">
        <v>6</v>
      </c>
      <c r="DL166">
        <v>4</v>
      </c>
      <c r="DM166">
        <v>0</v>
      </c>
      <c r="DN166">
        <v>0</v>
      </c>
      <c r="DO166">
        <v>0</v>
      </c>
      <c r="DP166">
        <v>2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6</v>
      </c>
      <c r="DW166">
        <v>80</v>
      </c>
      <c r="DX166">
        <v>6</v>
      </c>
      <c r="DY166">
        <v>4</v>
      </c>
      <c r="DZ166">
        <v>0</v>
      </c>
      <c r="EA166">
        <v>64</v>
      </c>
      <c r="EB166">
        <v>1</v>
      </c>
      <c r="EC166">
        <v>2</v>
      </c>
      <c r="ED166">
        <v>2</v>
      </c>
      <c r="EE166">
        <v>0</v>
      </c>
      <c r="EF166">
        <v>0</v>
      </c>
      <c r="EG166">
        <v>1</v>
      </c>
      <c r="EH166">
        <v>80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</row>
    <row r="167" spans="1:172" ht="14.25">
      <c r="A167">
        <v>162</v>
      </c>
      <c r="B167" t="str">
        <f t="shared" si="26"/>
        <v>101402</v>
      </c>
      <c r="C167" t="str">
        <f t="shared" si="27"/>
        <v>Błaszki</v>
      </c>
      <c r="D167" t="str">
        <f aca="true" t="shared" si="28" ref="D167:D198">"sieradzki"</f>
        <v>sieradzki</v>
      </c>
      <c r="E167" t="str">
        <f t="shared" si="22"/>
        <v>łódzkie</v>
      </c>
      <c r="F167">
        <v>6</v>
      </c>
      <c r="G167" t="str">
        <f>"Szkoła Podstawowa, Kwasków 5, 98-235 Błaszki"</f>
        <v>Szkoła Podstawowa, Kwasków 5, 98-235 Błaszki</v>
      </c>
      <c r="H167">
        <v>694</v>
      </c>
      <c r="I167">
        <v>694</v>
      </c>
      <c r="J167">
        <v>0</v>
      </c>
      <c r="K167">
        <v>490</v>
      </c>
      <c r="L167">
        <v>352</v>
      </c>
      <c r="M167">
        <v>138</v>
      </c>
      <c r="N167">
        <v>138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138</v>
      </c>
      <c r="Z167">
        <v>0</v>
      </c>
      <c r="AA167">
        <v>0</v>
      </c>
      <c r="AB167">
        <v>138</v>
      </c>
      <c r="AC167">
        <v>4</v>
      </c>
      <c r="AD167">
        <v>134</v>
      </c>
      <c r="AE167">
        <v>9</v>
      </c>
      <c r="AF167">
        <v>4</v>
      </c>
      <c r="AG167">
        <v>3</v>
      </c>
      <c r="AH167">
        <v>0</v>
      </c>
      <c r="AI167">
        <v>0</v>
      </c>
      <c r="AJ167">
        <v>0</v>
      </c>
      <c r="AK167">
        <v>0</v>
      </c>
      <c r="AL167">
        <v>1</v>
      </c>
      <c r="AM167">
        <v>0</v>
      </c>
      <c r="AN167">
        <v>0</v>
      </c>
      <c r="AO167">
        <v>1</v>
      </c>
      <c r="AP167">
        <v>9</v>
      </c>
      <c r="AQ167">
        <v>2</v>
      </c>
      <c r="AR167">
        <v>1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0</v>
      </c>
      <c r="BB167">
        <v>2</v>
      </c>
      <c r="BC167">
        <v>2</v>
      </c>
      <c r="BD167">
        <v>2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2</v>
      </c>
      <c r="BO167">
        <v>60</v>
      </c>
      <c r="BP167">
        <v>46</v>
      </c>
      <c r="BQ167">
        <v>1</v>
      </c>
      <c r="BR167">
        <v>1</v>
      </c>
      <c r="BS167">
        <v>12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60</v>
      </c>
      <c r="CA167">
        <v>2</v>
      </c>
      <c r="CB167">
        <v>0</v>
      </c>
      <c r="CC167">
        <v>1</v>
      </c>
      <c r="CD167">
        <v>0</v>
      </c>
      <c r="CE167">
        <v>0</v>
      </c>
      <c r="CF167">
        <v>0</v>
      </c>
      <c r="CG167">
        <v>1</v>
      </c>
      <c r="CH167">
        <v>0</v>
      </c>
      <c r="CI167">
        <v>0</v>
      </c>
      <c r="CJ167">
        <v>0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7</v>
      </c>
      <c r="CZ167">
        <v>4</v>
      </c>
      <c r="DA167">
        <v>0</v>
      </c>
      <c r="DB167">
        <v>0</v>
      </c>
      <c r="DC167">
        <v>0</v>
      </c>
      <c r="DD167">
        <v>2</v>
      </c>
      <c r="DE167">
        <v>0</v>
      </c>
      <c r="DF167">
        <v>0</v>
      </c>
      <c r="DG167">
        <v>1</v>
      </c>
      <c r="DH167">
        <v>0</v>
      </c>
      <c r="DI167">
        <v>0</v>
      </c>
      <c r="DJ167">
        <v>7</v>
      </c>
      <c r="DK167">
        <v>9</v>
      </c>
      <c r="DL167">
        <v>7</v>
      </c>
      <c r="DM167">
        <v>0</v>
      </c>
      <c r="DN167">
        <v>0</v>
      </c>
      <c r="DO167">
        <v>2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9</v>
      </c>
      <c r="DW167">
        <v>41</v>
      </c>
      <c r="DX167">
        <v>5</v>
      </c>
      <c r="DY167">
        <v>0</v>
      </c>
      <c r="DZ167">
        <v>1</v>
      </c>
      <c r="EA167">
        <v>20</v>
      </c>
      <c r="EB167">
        <v>2</v>
      </c>
      <c r="EC167">
        <v>6</v>
      </c>
      <c r="ED167">
        <v>2</v>
      </c>
      <c r="EE167">
        <v>2</v>
      </c>
      <c r="EF167">
        <v>1</v>
      </c>
      <c r="EG167">
        <v>2</v>
      </c>
      <c r="EH167">
        <v>41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2</v>
      </c>
      <c r="ET167">
        <v>2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2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</row>
    <row r="168" spans="1:172" ht="14.25">
      <c r="A168">
        <v>163</v>
      </c>
      <c r="B168" t="str">
        <f t="shared" si="26"/>
        <v>101402</v>
      </c>
      <c r="C168" t="str">
        <f t="shared" si="27"/>
        <v>Błaszki</v>
      </c>
      <c r="D168" t="str">
        <f t="shared" si="28"/>
        <v>sieradzki</v>
      </c>
      <c r="E168" t="str">
        <f t="shared" si="22"/>
        <v>łódzkie</v>
      </c>
      <c r="F168">
        <v>7</v>
      </c>
      <c r="G168" t="str">
        <f>"Szkoła Podstawowa, Sędzimirowice 10, 98-235 Błaszki"</f>
        <v>Szkoła Podstawowa, Sędzimirowice 10, 98-235 Błaszki</v>
      </c>
      <c r="H168">
        <v>827</v>
      </c>
      <c r="I168">
        <v>827</v>
      </c>
      <c r="J168">
        <v>0</v>
      </c>
      <c r="K168">
        <v>580</v>
      </c>
      <c r="L168">
        <v>479</v>
      </c>
      <c r="M168">
        <v>101</v>
      </c>
      <c r="N168">
        <v>101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101</v>
      </c>
      <c r="Z168">
        <v>0</v>
      </c>
      <c r="AA168">
        <v>0</v>
      </c>
      <c r="AB168">
        <v>101</v>
      </c>
      <c r="AC168">
        <v>3</v>
      </c>
      <c r="AD168">
        <v>98</v>
      </c>
      <c r="AE168">
        <v>1</v>
      </c>
      <c r="AF168">
        <v>0</v>
      </c>
      <c r="AG168">
        <v>0</v>
      </c>
      <c r="AH168">
        <v>0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5</v>
      </c>
      <c r="AR168">
        <v>0</v>
      </c>
      <c r="AS168">
        <v>0</v>
      </c>
      <c r="AT168">
        <v>0</v>
      </c>
      <c r="AU168">
        <v>0</v>
      </c>
      <c r="AV168">
        <v>3</v>
      </c>
      <c r="AW168">
        <v>0</v>
      </c>
      <c r="AX168">
        <v>0</v>
      </c>
      <c r="AY168">
        <v>0</v>
      </c>
      <c r="AZ168">
        <v>0</v>
      </c>
      <c r="BA168">
        <v>2</v>
      </c>
      <c r="BB168">
        <v>5</v>
      </c>
      <c r="BC168">
        <v>7</v>
      </c>
      <c r="BD168">
        <v>4</v>
      </c>
      <c r="BE168">
        <v>2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7</v>
      </c>
      <c r="BO168">
        <v>41</v>
      </c>
      <c r="BP168">
        <v>27</v>
      </c>
      <c r="BQ168">
        <v>3</v>
      </c>
      <c r="BR168">
        <v>0</v>
      </c>
      <c r="BS168">
        <v>7</v>
      </c>
      <c r="BT168">
        <v>1</v>
      </c>
      <c r="BU168">
        <v>0</v>
      </c>
      <c r="BV168">
        <v>0</v>
      </c>
      <c r="BW168">
        <v>2</v>
      </c>
      <c r="BX168">
        <v>0</v>
      </c>
      <c r="BY168">
        <v>1</v>
      </c>
      <c r="BZ168">
        <v>41</v>
      </c>
      <c r="CA168">
        <v>7</v>
      </c>
      <c r="CB168">
        <v>2</v>
      </c>
      <c r="CC168">
        <v>0</v>
      </c>
      <c r="CD168">
        <v>2</v>
      </c>
      <c r="CE168">
        <v>2</v>
      </c>
      <c r="CF168">
        <v>0</v>
      </c>
      <c r="CG168">
        <v>0</v>
      </c>
      <c r="CH168">
        <v>0</v>
      </c>
      <c r="CI168">
        <v>1</v>
      </c>
      <c r="CJ168">
        <v>0</v>
      </c>
      <c r="CK168">
        <v>0</v>
      </c>
      <c r="CL168">
        <v>7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3</v>
      </c>
      <c r="CZ168">
        <v>2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1</v>
      </c>
      <c r="DI168">
        <v>0</v>
      </c>
      <c r="DJ168">
        <v>3</v>
      </c>
      <c r="DK168">
        <v>6</v>
      </c>
      <c r="DL168">
        <v>3</v>
      </c>
      <c r="DM168">
        <v>1</v>
      </c>
      <c r="DN168">
        <v>0</v>
      </c>
      <c r="DO168">
        <v>0</v>
      </c>
      <c r="DP168">
        <v>1</v>
      </c>
      <c r="DQ168">
        <v>0</v>
      </c>
      <c r="DR168">
        <v>0</v>
      </c>
      <c r="DS168">
        <v>0</v>
      </c>
      <c r="DT168">
        <v>1</v>
      </c>
      <c r="DU168">
        <v>0</v>
      </c>
      <c r="DV168">
        <v>6</v>
      </c>
      <c r="DW168">
        <v>28</v>
      </c>
      <c r="DX168">
        <v>8</v>
      </c>
      <c r="DY168">
        <v>1</v>
      </c>
      <c r="DZ168">
        <v>0</v>
      </c>
      <c r="EA168">
        <v>12</v>
      </c>
      <c r="EB168">
        <v>1</v>
      </c>
      <c r="EC168">
        <v>4</v>
      </c>
      <c r="ED168">
        <v>0</v>
      </c>
      <c r="EE168">
        <v>2</v>
      </c>
      <c r="EF168">
        <v>0</v>
      </c>
      <c r="EG168">
        <v>0</v>
      </c>
      <c r="EH168">
        <v>28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</row>
    <row r="169" spans="1:172" ht="14.25">
      <c r="A169">
        <v>164</v>
      </c>
      <c r="B169" t="str">
        <f t="shared" si="26"/>
        <v>101402</v>
      </c>
      <c r="C169" t="str">
        <f t="shared" si="27"/>
        <v>Błaszki</v>
      </c>
      <c r="D169" t="str">
        <f t="shared" si="28"/>
        <v>sieradzki</v>
      </c>
      <c r="E169" t="str">
        <f t="shared" si="22"/>
        <v>łódzkie</v>
      </c>
      <c r="F169">
        <v>8</v>
      </c>
      <c r="G169" t="str">
        <f>"Szkoła Podstawowa, Kalinowa 86, 98-235 Błaszki"</f>
        <v>Szkoła Podstawowa, Kalinowa 86, 98-235 Błaszki</v>
      </c>
      <c r="H169">
        <v>956</v>
      </c>
      <c r="I169">
        <v>956</v>
      </c>
      <c r="J169">
        <v>0</v>
      </c>
      <c r="K169">
        <v>680</v>
      </c>
      <c r="L169">
        <v>509</v>
      </c>
      <c r="M169">
        <v>171</v>
      </c>
      <c r="N169">
        <v>171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171</v>
      </c>
      <c r="Z169">
        <v>0</v>
      </c>
      <c r="AA169">
        <v>0</v>
      </c>
      <c r="AB169">
        <v>171</v>
      </c>
      <c r="AC169">
        <v>7</v>
      </c>
      <c r="AD169">
        <v>164</v>
      </c>
      <c r="AE169">
        <v>5</v>
      </c>
      <c r="AF169">
        <v>2</v>
      </c>
      <c r="AG169">
        <v>1</v>
      </c>
      <c r="AH169">
        <v>0</v>
      </c>
      <c r="AI169">
        <v>0</v>
      </c>
      <c r="AJ169">
        <v>0</v>
      </c>
      <c r="AK169">
        <v>0</v>
      </c>
      <c r="AL169">
        <v>1</v>
      </c>
      <c r="AM169">
        <v>0</v>
      </c>
      <c r="AN169">
        <v>0</v>
      </c>
      <c r="AO169">
        <v>1</v>
      </c>
      <c r="AP169">
        <v>5</v>
      </c>
      <c r="AQ169">
        <v>3</v>
      </c>
      <c r="AR169">
        <v>2</v>
      </c>
      <c r="AS169">
        <v>1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3</v>
      </c>
      <c r="BC169">
        <v>7</v>
      </c>
      <c r="BD169">
        <v>5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1</v>
      </c>
      <c r="BL169">
        <v>1</v>
      </c>
      <c r="BM169">
        <v>0</v>
      </c>
      <c r="BN169">
        <v>7</v>
      </c>
      <c r="BO169">
        <v>60</v>
      </c>
      <c r="BP169">
        <v>44</v>
      </c>
      <c r="BQ169">
        <v>0</v>
      </c>
      <c r="BR169">
        <v>4</v>
      </c>
      <c r="BS169">
        <v>10</v>
      </c>
      <c r="BT169">
        <v>0</v>
      </c>
      <c r="BU169">
        <v>1</v>
      </c>
      <c r="BV169">
        <v>0</v>
      </c>
      <c r="BW169">
        <v>0</v>
      </c>
      <c r="BX169">
        <v>0</v>
      </c>
      <c r="BY169">
        <v>1</v>
      </c>
      <c r="BZ169">
        <v>60</v>
      </c>
      <c r="CA169">
        <v>3</v>
      </c>
      <c r="CB169">
        <v>2</v>
      </c>
      <c r="CC169">
        <v>0</v>
      </c>
      <c r="CD169">
        <v>1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3</v>
      </c>
      <c r="CM169">
        <v>2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1</v>
      </c>
      <c r="CX169">
        <v>2</v>
      </c>
      <c r="CY169">
        <v>14</v>
      </c>
      <c r="CZ169">
        <v>11</v>
      </c>
      <c r="DA169">
        <v>1</v>
      </c>
      <c r="DB169">
        <v>1</v>
      </c>
      <c r="DC169">
        <v>0</v>
      </c>
      <c r="DD169">
        <v>1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14</v>
      </c>
      <c r="DK169">
        <v>17</v>
      </c>
      <c r="DL169">
        <v>7</v>
      </c>
      <c r="DM169">
        <v>6</v>
      </c>
      <c r="DN169">
        <v>0</v>
      </c>
      <c r="DO169">
        <v>3</v>
      </c>
      <c r="DP169">
        <v>1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17</v>
      </c>
      <c r="DW169">
        <v>50</v>
      </c>
      <c r="DX169">
        <v>19</v>
      </c>
      <c r="DY169">
        <v>1</v>
      </c>
      <c r="DZ169">
        <v>0</v>
      </c>
      <c r="EA169">
        <v>21</v>
      </c>
      <c r="EB169">
        <v>0</v>
      </c>
      <c r="EC169">
        <v>1</v>
      </c>
      <c r="ED169">
        <v>4</v>
      </c>
      <c r="EE169">
        <v>4</v>
      </c>
      <c r="EF169">
        <v>0</v>
      </c>
      <c r="EG169">
        <v>0</v>
      </c>
      <c r="EH169">
        <v>50</v>
      </c>
      <c r="EI169">
        <v>1</v>
      </c>
      <c r="EJ169">
        <v>0</v>
      </c>
      <c r="EK169">
        <v>1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1</v>
      </c>
      <c r="ES169">
        <v>1</v>
      </c>
      <c r="ET169">
        <v>1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1</v>
      </c>
      <c r="FE169">
        <v>1</v>
      </c>
      <c r="FF169">
        <v>0</v>
      </c>
      <c r="FG169">
        <v>0</v>
      </c>
      <c r="FH169">
        <v>1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1</v>
      </c>
    </row>
    <row r="170" spans="1:172" ht="14.25">
      <c r="A170">
        <v>165</v>
      </c>
      <c r="B170" t="str">
        <f t="shared" si="26"/>
        <v>101402</v>
      </c>
      <c r="C170" t="str">
        <f t="shared" si="27"/>
        <v>Błaszki</v>
      </c>
      <c r="D170" t="str">
        <f t="shared" si="28"/>
        <v>sieradzki</v>
      </c>
      <c r="E170" t="str">
        <f t="shared" si="22"/>
        <v>łódzkie</v>
      </c>
      <c r="F170">
        <v>9</v>
      </c>
      <c r="G170" t="str">
        <f>"Publiczne Gimnazjum, Pomorska 6, 98-235 Błaszki"</f>
        <v>Publiczne Gimnazjum, Pomorska 6, 98-235 Błaszki</v>
      </c>
      <c r="H170">
        <v>704</v>
      </c>
      <c r="I170">
        <v>704</v>
      </c>
      <c r="J170">
        <v>0</v>
      </c>
      <c r="K170">
        <v>490</v>
      </c>
      <c r="L170">
        <v>350</v>
      </c>
      <c r="M170">
        <v>140</v>
      </c>
      <c r="N170">
        <v>140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140</v>
      </c>
      <c r="Z170">
        <v>0</v>
      </c>
      <c r="AA170">
        <v>0</v>
      </c>
      <c r="AB170">
        <v>140</v>
      </c>
      <c r="AC170">
        <v>5</v>
      </c>
      <c r="AD170">
        <v>135</v>
      </c>
      <c r="AE170">
        <v>3</v>
      </c>
      <c r="AF170">
        <v>0</v>
      </c>
      <c r="AG170">
        <v>1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3</v>
      </c>
      <c r="AQ170">
        <v>5</v>
      </c>
      <c r="AR170">
        <v>4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0</v>
      </c>
      <c r="BA170">
        <v>0</v>
      </c>
      <c r="BB170">
        <v>5</v>
      </c>
      <c r="BC170">
        <v>5</v>
      </c>
      <c r="BD170">
        <v>2</v>
      </c>
      <c r="BE170">
        <v>0</v>
      </c>
      <c r="BF170">
        <v>2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5</v>
      </c>
      <c r="BO170">
        <v>67</v>
      </c>
      <c r="BP170">
        <v>52</v>
      </c>
      <c r="BQ170">
        <v>3</v>
      </c>
      <c r="BR170">
        <v>0</v>
      </c>
      <c r="BS170">
        <v>9</v>
      </c>
      <c r="BT170">
        <v>0</v>
      </c>
      <c r="BU170">
        <v>0</v>
      </c>
      <c r="BV170">
        <v>3</v>
      </c>
      <c r="BW170">
        <v>0</v>
      </c>
      <c r="BX170">
        <v>0</v>
      </c>
      <c r="BY170">
        <v>0</v>
      </c>
      <c r="BZ170">
        <v>67</v>
      </c>
      <c r="CA170">
        <v>4</v>
      </c>
      <c r="CB170">
        <v>2</v>
      </c>
      <c r="CC170">
        <v>2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4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9</v>
      </c>
      <c r="CZ170">
        <v>5</v>
      </c>
      <c r="DA170">
        <v>2</v>
      </c>
      <c r="DB170">
        <v>1</v>
      </c>
      <c r="DC170">
        <v>1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9</v>
      </c>
      <c r="DK170">
        <v>14</v>
      </c>
      <c r="DL170">
        <v>10</v>
      </c>
      <c r="DM170">
        <v>0</v>
      </c>
      <c r="DN170">
        <v>0</v>
      </c>
      <c r="DO170">
        <v>3</v>
      </c>
      <c r="DP170">
        <v>0</v>
      </c>
      <c r="DQ170">
        <v>0</v>
      </c>
      <c r="DR170">
        <v>0</v>
      </c>
      <c r="DS170">
        <v>1</v>
      </c>
      <c r="DT170">
        <v>0</v>
      </c>
      <c r="DU170">
        <v>0</v>
      </c>
      <c r="DV170">
        <v>14</v>
      </c>
      <c r="DW170">
        <v>26</v>
      </c>
      <c r="DX170">
        <v>2</v>
      </c>
      <c r="DY170">
        <v>0</v>
      </c>
      <c r="DZ170">
        <v>0</v>
      </c>
      <c r="EA170">
        <v>20</v>
      </c>
      <c r="EB170">
        <v>0</v>
      </c>
      <c r="EC170">
        <v>4</v>
      </c>
      <c r="ED170">
        <v>0</v>
      </c>
      <c r="EE170">
        <v>0</v>
      </c>
      <c r="EF170">
        <v>0</v>
      </c>
      <c r="EG170">
        <v>0</v>
      </c>
      <c r="EH170">
        <v>26</v>
      </c>
      <c r="EI170">
        <v>2</v>
      </c>
      <c r="EJ170">
        <v>1</v>
      </c>
      <c r="EK170">
        <v>1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2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</row>
    <row r="171" spans="1:172" ht="14.25">
      <c r="A171">
        <v>166</v>
      </c>
      <c r="B171" t="str">
        <f t="shared" si="26"/>
        <v>101402</v>
      </c>
      <c r="C171" t="str">
        <f t="shared" si="27"/>
        <v>Błaszki</v>
      </c>
      <c r="D171" t="str">
        <f t="shared" si="28"/>
        <v>sieradzki</v>
      </c>
      <c r="E171" t="str">
        <f t="shared" si="22"/>
        <v>łódzkie</v>
      </c>
      <c r="F171">
        <v>10</v>
      </c>
      <c r="G171" t="str">
        <f>"Szkoła Podstawowa, Gruszczyce 45, 98-235 Błaszki"</f>
        <v>Szkoła Podstawowa, Gruszczyce 45, 98-235 Błaszki</v>
      </c>
      <c r="H171">
        <v>1472</v>
      </c>
      <c r="I171">
        <v>1472</v>
      </c>
      <c r="J171">
        <v>0</v>
      </c>
      <c r="K171">
        <v>1040</v>
      </c>
      <c r="L171">
        <v>734</v>
      </c>
      <c r="M171">
        <v>306</v>
      </c>
      <c r="N171">
        <v>306</v>
      </c>
      <c r="O171">
        <v>0</v>
      </c>
      <c r="P171">
        <v>0</v>
      </c>
      <c r="Q171">
        <v>3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306</v>
      </c>
      <c r="Z171">
        <v>0</v>
      </c>
      <c r="AA171">
        <v>0</v>
      </c>
      <c r="AB171">
        <v>306</v>
      </c>
      <c r="AC171">
        <v>10</v>
      </c>
      <c r="AD171">
        <v>296</v>
      </c>
      <c r="AE171">
        <v>7</v>
      </c>
      <c r="AF171">
        <v>4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1</v>
      </c>
      <c r="AP171">
        <v>7</v>
      </c>
      <c r="AQ171">
        <v>1</v>
      </c>
      <c r="AR171">
        <v>1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1</v>
      </c>
      <c r="BC171">
        <v>6</v>
      </c>
      <c r="BD171">
        <v>2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1</v>
      </c>
      <c r="BL171">
        <v>2</v>
      </c>
      <c r="BM171">
        <v>1</v>
      </c>
      <c r="BN171">
        <v>6</v>
      </c>
      <c r="BO171">
        <v>94</v>
      </c>
      <c r="BP171">
        <v>71</v>
      </c>
      <c r="BQ171">
        <v>4</v>
      </c>
      <c r="BR171">
        <v>0</v>
      </c>
      <c r="BS171">
        <v>12</v>
      </c>
      <c r="BT171">
        <v>2</v>
      </c>
      <c r="BU171">
        <v>0</v>
      </c>
      <c r="BV171">
        <v>0</v>
      </c>
      <c r="BW171">
        <v>0</v>
      </c>
      <c r="BX171">
        <v>1</v>
      </c>
      <c r="BY171">
        <v>4</v>
      </c>
      <c r="BZ171">
        <v>94</v>
      </c>
      <c r="CA171">
        <v>4</v>
      </c>
      <c r="CB171">
        <v>1</v>
      </c>
      <c r="CC171">
        <v>0</v>
      </c>
      <c r="CD171">
        <v>0</v>
      </c>
      <c r="CE171">
        <v>1</v>
      </c>
      <c r="CF171">
        <v>0</v>
      </c>
      <c r="CG171">
        <v>0</v>
      </c>
      <c r="CH171">
        <v>1</v>
      </c>
      <c r="CI171">
        <v>1</v>
      </c>
      <c r="CJ171">
        <v>0</v>
      </c>
      <c r="CK171">
        <v>0</v>
      </c>
      <c r="CL171">
        <v>4</v>
      </c>
      <c r="CM171">
        <v>7</v>
      </c>
      <c r="CN171">
        <v>4</v>
      </c>
      <c r="CO171">
        <v>1</v>
      </c>
      <c r="CP171">
        <v>0</v>
      </c>
      <c r="CQ171">
        <v>1</v>
      </c>
      <c r="CR171">
        <v>0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7</v>
      </c>
      <c r="CY171">
        <v>20</v>
      </c>
      <c r="CZ171">
        <v>14</v>
      </c>
      <c r="DA171">
        <v>2</v>
      </c>
      <c r="DB171">
        <v>0</v>
      </c>
      <c r="DC171">
        <v>1</v>
      </c>
      <c r="DD171">
        <v>0</v>
      </c>
      <c r="DE171">
        <v>0</v>
      </c>
      <c r="DF171">
        <v>1</v>
      </c>
      <c r="DG171">
        <v>0</v>
      </c>
      <c r="DH171">
        <v>1</v>
      </c>
      <c r="DI171">
        <v>1</v>
      </c>
      <c r="DJ171">
        <v>20</v>
      </c>
      <c r="DK171">
        <v>26</v>
      </c>
      <c r="DL171">
        <v>14</v>
      </c>
      <c r="DM171">
        <v>6</v>
      </c>
      <c r="DN171">
        <v>0</v>
      </c>
      <c r="DO171">
        <v>6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26</v>
      </c>
      <c r="DW171">
        <v>128</v>
      </c>
      <c r="DX171">
        <v>3</v>
      </c>
      <c r="DY171">
        <v>1</v>
      </c>
      <c r="DZ171">
        <v>0</v>
      </c>
      <c r="EA171">
        <v>109</v>
      </c>
      <c r="EB171">
        <v>1</v>
      </c>
      <c r="EC171">
        <v>4</v>
      </c>
      <c r="ED171">
        <v>2</v>
      </c>
      <c r="EE171">
        <v>0</v>
      </c>
      <c r="EF171">
        <v>7</v>
      </c>
      <c r="EG171">
        <v>1</v>
      </c>
      <c r="EH171">
        <v>128</v>
      </c>
      <c r="EI171">
        <v>1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1</v>
      </c>
      <c r="EP171">
        <v>0</v>
      </c>
      <c r="EQ171">
        <v>0</v>
      </c>
      <c r="ER171">
        <v>1</v>
      </c>
      <c r="ES171">
        <v>1</v>
      </c>
      <c r="ET171">
        <v>0</v>
      </c>
      <c r="EU171">
        <v>0</v>
      </c>
      <c r="EV171">
        <v>1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1</v>
      </c>
      <c r="FE171">
        <v>1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1</v>
      </c>
      <c r="FM171">
        <v>0</v>
      </c>
      <c r="FN171">
        <v>0</v>
      </c>
      <c r="FO171">
        <v>0</v>
      </c>
      <c r="FP171">
        <v>1</v>
      </c>
    </row>
    <row r="172" spans="1:172" ht="14.25">
      <c r="A172">
        <v>167</v>
      </c>
      <c r="B172" t="str">
        <f t="shared" si="26"/>
        <v>101402</v>
      </c>
      <c r="C172" t="str">
        <f t="shared" si="27"/>
        <v>Błaszki</v>
      </c>
      <c r="D172" t="str">
        <f t="shared" si="28"/>
        <v>sieradzki</v>
      </c>
      <c r="E172" t="str">
        <f t="shared" si="22"/>
        <v>łódzkie</v>
      </c>
      <c r="F172">
        <v>11</v>
      </c>
      <c r="G172" t="str">
        <f>"Szkoła Podstawowa w Domaniewie, Domaniew 53, 98-235 Błaszki"</f>
        <v>Szkoła Podstawowa w Domaniewie, Domaniew 53, 98-235 Błaszki</v>
      </c>
      <c r="H172">
        <v>907</v>
      </c>
      <c r="I172">
        <v>907</v>
      </c>
      <c r="J172">
        <v>0</v>
      </c>
      <c r="K172">
        <v>640</v>
      </c>
      <c r="L172">
        <v>509</v>
      </c>
      <c r="M172">
        <v>131</v>
      </c>
      <c r="N172">
        <v>131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131</v>
      </c>
      <c r="Z172">
        <v>0</v>
      </c>
      <c r="AA172">
        <v>0</v>
      </c>
      <c r="AB172">
        <v>131</v>
      </c>
      <c r="AC172">
        <v>7</v>
      </c>
      <c r="AD172">
        <v>124</v>
      </c>
      <c r="AE172">
        <v>2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1</v>
      </c>
      <c r="AM172">
        <v>0</v>
      </c>
      <c r="AN172">
        <v>0</v>
      </c>
      <c r="AO172">
        <v>1</v>
      </c>
      <c r="AP172">
        <v>2</v>
      </c>
      <c r="AQ172">
        <v>1</v>
      </c>
      <c r="AR172">
        <v>1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1</v>
      </c>
      <c r="BC172">
        <v>5</v>
      </c>
      <c r="BD172">
        <v>4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5</v>
      </c>
      <c r="BO172">
        <v>56</v>
      </c>
      <c r="BP172">
        <v>41</v>
      </c>
      <c r="BQ172">
        <v>3</v>
      </c>
      <c r="BR172">
        <v>0</v>
      </c>
      <c r="BS172">
        <v>10</v>
      </c>
      <c r="BT172">
        <v>0</v>
      </c>
      <c r="BU172">
        <v>0</v>
      </c>
      <c r="BV172">
        <v>0</v>
      </c>
      <c r="BW172">
        <v>0</v>
      </c>
      <c r="BX172">
        <v>1</v>
      </c>
      <c r="BY172">
        <v>1</v>
      </c>
      <c r="BZ172">
        <v>56</v>
      </c>
      <c r="CA172">
        <v>2</v>
      </c>
      <c r="CB172">
        <v>0</v>
      </c>
      <c r="CC172">
        <v>2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2</v>
      </c>
      <c r="CM172">
        <v>1</v>
      </c>
      <c r="CN172">
        <v>0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1</v>
      </c>
      <c r="CY172">
        <v>17</v>
      </c>
      <c r="CZ172">
        <v>12</v>
      </c>
      <c r="DA172">
        <v>0</v>
      </c>
      <c r="DB172">
        <v>1</v>
      </c>
      <c r="DC172">
        <v>0</v>
      </c>
      <c r="DD172">
        <v>1</v>
      </c>
      <c r="DE172">
        <v>0</v>
      </c>
      <c r="DF172">
        <v>0</v>
      </c>
      <c r="DG172">
        <v>2</v>
      </c>
      <c r="DH172">
        <v>1</v>
      </c>
      <c r="DI172">
        <v>0</v>
      </c>
      <c r="DJ172">
        <v>17</v>
      </c>
      <c r="DK172">
        <v>15</v>
      </c>
      <c r="DL172">
        <v>12</v>
      </c>
      <c r="DM172">
        <v>0</v>
      </c>
      <c r="DN172">
        <v>0</v>
      </c>
      <c r="DO172">
        <v>1</v>
      </c>
      <c r="DP172">
        <v>1</v>
      </c>
      <c r="DQ172">
        <v>0</v>
      </c>
      <c r="DR172">
        <v>0</v>
      </c>
      <c r="DS172">
        <v>0</v>
      </c>
      <c r="DT172">
        <v>1</v>
      </c>
      <c r="DU172">
        <v>0</v>
      </c>
      <c r="DV172">
        <v>15</v>
      </c>
      <c r="DW172">
        <v>19</v>
      </c>
      <c r="DX172">
        <v>6</v>
      </c>
      <c r="DY172">
        <v>0</v>
      </c>
      <c r="DZ172">
        <v>0</v>
      </c>
      <c r="EA172">
        <v>10</v>
      </c>
      <c r="EB172">
        <v>2</v>
      </c>
      <c r="EC172">
        <v>0</v>
      </c>
      <c r="ED172">
        <v>1</v>
      </c>
      <c r="EE172">
        <v>0</v>
      </c>
      <c r="EF172">
        <v>0</v>
      </c>
      <c r="EG172">
        <v>0</v>
      </c>
      <c r="EH172">
        <v>19</v>
      </c>
      <c r="EI172">
        <v>2</v>
      </c>
      <c r="EJ172">
        <v>0</v>
      </c>
      <c r="EK172">
        <v>2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2</v>
      </c>
      <c r="ES172">
        <v>3</v>
      </c>
      <c r="ET172">
        <v>1</v>
      </c>
      <c r="EU172">
        <v>0</v>
      </c>
      <c r="EV172">
        <v>1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1</v>
      </c>
      <c r="FD172">
        <v>3</v>
      </c>
      <c r="FE172">
        <v>1</v>
      </c>
      <c r="FF172">
        <v>0</v>
      </c>
      <c r="FG172">
        <v>0</v>
      </c>
      <c r="FH172">
        <v>0</v>
      </c>
      <c r="FI172">
        <v>1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1</v>
      </c>
    </row>
    <row r="173" spans="1:172" ht="14.25">
      <c r="A173">
        <v>168</v>
      </c>
      <c r="B173" t="str">
        <f>"101403"</f>
        <v>101403</v>
      </c>
      <c r="C173" t="str">
        <f>"Brąszewice"</f>
        <v>Brąszewice</v>
      </c>
      <c r="D173" t="str">
        <f t="shared" si="28"/>
        <v>sieradzki</v>
      </c>
      <c r="E173" t="str">
        <f t="shared" si="22"/>
        <v>łódzkie</v>
      </c>
      <c r="F173">
        <v>1</v>
      </c>
      <c r="G173" t="str">
        <f>"Szkoła Podstawowa w Brąszewicach, Sieradzka 98, 98-277 Brąszewice"</f>
        <v>Szkoła Podstawowa w Brąszewicach, Sieradzka 98, 98-277 Brąszewice</v>
      </c>
      <c r="H173">
        <v>1463</v>
      </c>
      <c r="I173">
        <v>1463</v>
      </c>
      <c r="J173">
        <v>0</v>
      </c>
      <c r="K173">
        <v>1030</v>
      </c>
      <c r="L173">
        <v>759</v>
      </c>
      <c r="M173">
        <v>271</v>
      </c>
      <c r="N173">
        <v>271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271</v>
      </c>
      <c r="Z173">
        <v>0</v>
      </c>
      <c r="AA173">
        <v>0</v>
      </c>
      <c r="AB173">
        <v>271</v>
      </c>
      <c r="AC173">
        <v>8</v>
      </c>
      <c r="AD173">
        <v>263</v>
      </c>
      <c r="AE173">
        <v>8</v>
      </c>
      <c r="AF173">
        <v>1</v>
      </c>
      <c r="AG173">
        <v>3</v>
      </c>
      <c r="AH173">
        <v>3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1</v>
      </c>
      <c r="AO173">
        <v>0</v>
      </c>
      <c r="AP173">
        <v>8</v>
      </c>
      <c r="AQ173">
        <v>4</v>
      </c>
      <c r="AR173">
        <v>2</v>
      </c>
      <c r="AS173">
        <v>2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4</v>
      </c>
      <c r="BC173">
        <v>13</v>
      </c>
      <c r="BD173">
        <v>5</v>
      </c>
      <c r="BE173">
        <v>0</v>
      </c>
      <c r="BF173">
        <v>8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13</v>
      </c>
      <c r="BO173">
        <v>135</v>
      </c>
      <c r="BP173">
        <v>81</v>
      </c>
      <c r="BQ173">
        <v>1</v>
      </c>
      <c r="BR173">
        <v>0</v>
      </c>
      <c r="BS173">
        <v>50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3</v>
      </c>
      <c r="BZ173">
        <v>135</v>
      </c>
      <c r="CA173">
        <v>2</v>
      </c>
      <c r="CB173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1</v>
      </c>
      <c r="CL173">
        <v>2</v>
      </c>
      <c r="CM173">
        <v>12</v>
      </c>
      <c r="CN173">
        <v>10</v>
      </c>
      <c r="CO173">
        <v>0</v>
      </c>
      <c r="CP173">
        <v>0</v>
      </c>
      <c r="CQ173">
        <v>0</v>
      </c>
      <c r="CR173">
        <v>0</v>
      </c>
      <c r="CS173">
        <v>1</v>
      </c>
      <c r="CT173">
        <v>0</v>
      </c>
      <c r="CU173">
        <v>0</v>
      </c>
      <c r="CV173">
        <v>0</v>
      </c>
      <c r="CW173">
        <v>1</v>
      </c>
      <c r="CX173">
        <v>12</v>
      </c>
      <c r="CY173">
        <v>15</v>
      </c>
      <c r="CZ173">
        <v>6</v>
      </c>
      <c r="DA173">
        <v>1</v>
      </c>
      <c r="DB173">
        <v>2</v>
      </c>
      <c r="DC173">
        <v>0</v>
      </c>
      <c r="DD173">
        <v>2</v>
      </c>
      <c r="DE173">
        <v>1</v>
      </c>
      <c r="DF173">
        <v>0</v>
      </c>
      <c r="DG173">
        <v>0</v>
      </c>
      <c r="DH173">
        <v>2</v>
      </c>
      <c r="DI173">
        <v>1</v>
      </c>
      <c r="DJ173">
        <v>15</v>
      </c>
      <c r="DK173">
        <v>44</v>
      </c>
      <c r="DL173">
        <v>8</v>
      </c>
      <c r="DM173">
        <v>3</v>
      </c>
      <c r="DN173">
        <v>0</v>
      </c>
      <c r="DO173">
        <v>33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44</v>
      </c>
      <c r="DW173">
        <v>27</v>
      </c>
      <c r="DX173">
        <v>12</v>
      </c>
      <c r="DY173">
        <v>2</v>
      </c>
      <c r="DZ173">
        <v>0</v>
      </c>
      <c r="EA173">
        <v>4</v>
      </c>
      <c r="EB173">
        <v>0</v>
      </c>
      <c r="EC173">
        <v>1</v>
      </c>
      <c r="ED173">
        <v>5</v>
      </c>
      <c r="EE173">
        <v>0</v>
      </c>
      <c r="EF173">
        <v>3</v>
      </c>
      <c r="EG173">
        <v>0</v>
      </c>
      <c r="EH173">
        <v>27</v>
      </c>
      <c r="EI173">
        <v>1</v>
      </c>
      <c r="EJ173">
        <v>0</v>
      </c>
      <c r="EK173">
        <v>1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1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2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1</v>
      </c>
      <c r="FM173">
        <v>0</v>
      </c>
      <c r="FN173">
        <v>0</v>
      </c>
      <c r="FO173">
        <v>1</v>
      </c>
      <c r="FP173">
        <v>2</v>
      </c>
    </row>
    <row r="174" spans="1:172" ht="14.25">
      <c r="A174">
        <v>169</v>
      </c>
      <c r="B174" t="str">
        <f>"101403"</f>
        <v>101403</v>
      </c>
      <c r="C174" t="str">
        <f>"Brąszewice"</f>
        <v>Brąszewice</v>
      </c>
      <c r="D174" t="str">
        <f t="shared" si="28"/>
        <v>sieradzki</v>
      </c>
      <c r="E174" t="str">
        <f t="shared" si="22"/>
        <v>łódzkie</v>
      </c>
      <c r="F174">
        <v>2</v>
      </c>
      <c r="G174" t="str">
        <f>"Publiczna Szkoła Podstawowa SPSK w Chajewie, Chajew 44, 98-277 Brąszewice"</f>
        <v>Publiczna Szkoła Podstawowa SPSK w Chajewie, Chajew 44, 98-277 Brąszewice</v>
      </c>
      <c r="H174">
        <v>451</v>
      </c>
      <c r="I174">
        <v>451</v>
      </c>
      <c r="J174">
        <v>0</v>
      </c>
      <c r="K174">
        <v>320</v>
      </c>
      <c r="L174">
        <v>263</v>
      </c>
      <c r="M174">
        <v>57</v>
      </c>
      <c r="N174">
        <v>57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57</v>
      </c>
      <c r="Z174">
        <v>0</v>
      </c>
      <c r="AA174">
        <v>0</v>
      </c>
      <c r="AB174">
        <v>57</v>
      </c>
      <c r="AC174">
        <v>6</v>
      </c>
      <c r="AD174">
        <v>51</v>
      </c>
      <c r="AE174">
        <v>3</v>
      </c>
      <c r="AF174">
        <v>2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3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3</v>
      </c>
      <c r="BD174">
        <v>1</v>
      </c>
      <c r="BE174">
        <v>0</v>
      </c>
      <c r="BF174">
        <v>1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1</v>
      </c>
      <c r="BN174">
        <v>3</v>
      </c>
      <c r="BO174">
        <v>24</v>
      </c>
      <c r="BP174">
        <v>19</v>
      </c>
      <c r="BQ174">
        <v>0</v>
      </c>
      <c r="BR174">
        <v>0</v>
      </c>
      <c r="BS174">
        <v>5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24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3</v>
      </c>
      <c r="CZ174">
        <v>2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1</v>
      </c>
      <c r="DJ174">
        <v>3</v>
      </c>
      <c r="DK174">
        <v>8</v>
      </c>
      <c r="DL174">
        <v>0</v>
      </c>
      <c r="DM174">
        <v>1</v>
      </c>
      <c r="DN174">
        <v>1</v>
      </c>
      <c r="DO174">
        <v>5</v>
      </c>
      <c r="DP174">
        <v>0</v>
      </c>
      <c r="DQ174">
        <v>1</v>
      </c>
      <c r="DR174">
        <v>0</v>
      </c>
      <c r="DS174">
        <v>0</v>
      </c>
      <c r="DT174">
        <v>0</v>
      </c>
      <c r="DU174">
        <v>0</v>
      </c>
      <c r="DV174">
        <v>8</v>
      </c>
      <c r="DW174">
        <v>7</v>
      </c>
      <c r="DX174">
        <v>0</v>
      </c>
      <c r="DY174">
        <v>0</v>
      </c>
      <c r="DZ174">
        <v>0</v>
      </c>
      <c r="EA174">
        <v>3</v>
      </c>
      <c r="EB174">
        <v>0</v>
      </c>
      <c r="EC174">
        <v>0</v>
      </c>
      <c r="ED174">
        <v>4</v>
      </c>
      <c r="EE174">
        <v>0</v>
      </c>
      <c r="EF174">
        <v>0</v>
      </c>
      <c r="EG174">
        <v>0</v>
      </c>
      <c r="EH174">
        <v>7</v>
      </c>
      <c r="EI174">
        <v>1</v>
      </c>
      <c r="EJ174">
        <v>0</v>
      </c>
      <c r="EK174">
        <v>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1</v>
      </c>
      <c r="ES174">
        <v>2</v>
      </c>
      <c r="ET174">
        <v>2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2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</row>
    <row r="175" spans="1:172" ht="14.25">
      <c r="A175">
        <v>170</v>
      </c>
      <c r="B175" t="str">
        <f>"101403"</f>
        <v>101403</v>
      </c>
      <c r="C175" t="str">
        <f>"Brąszewice"</f>
        <v>Brąszewice</v>
      </c>
      <c r="D175" t="str">
        <f t="shared" si="28"/>
        <v>sieradzki</v>
      </c>
      <c r="E175" t="str">
        <f t="shared" si="22"/>
        <v>łódzkie</v>
      </c>
      <c r="F175">
        <v>3</v>
      </c>
      <c r="G175" t="str">
        <f>"Szkoła Podstawowa w Godynicach, Godynice 17, 98-277 Brąszewice"</f>
        <v>Szkoła Podstawowa w Godynicach, Godynice 17, 98-277 Brąszewice</v>
      </c>
      <c r="H175">
        <v>1038</v>
      </c>
      <c r="I175">
        <v>1038</v>
      </c>
      <c r="J175">
        <v>0</v>
      </c>
      <c r="K175">
        <v>730</v>
      </c>
      <c r="L175">
        <v>473</v>
      </c>
      <c r="M175">
        <v>257</v>
      </c>
      <c r="N175">
        <v>257</v>
      </c>
      <c r="O175">
        <v>0</v>
      </c>
      <c r="P175">
        <v>0</v>
      </c>
      <c r="Q175">
        <v>4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257</v>
      </c>
      <c r="Z175">
        <v>0</v>
      </c>
      <c r="AA175">
        <v>0</v>
      </c>
      <c r="AB175">
        <v>257</v>
      </c>
      <c r="AC175">
        <v>10</v>
      </c>
      <c r="AD175">
        <v>247</v>
      </c>
      <c r="AE175">
        <v>5</v>
      </c>
      <c r="AF175">
        <v>0</v>
      </c>
      <c r="AG175">
        <v>0</v>
      </c>
      <c r="AH175">
        <v>0</v>
      </c>
      <c r="AI175">
        <v>0</v>
      </c>
      <c r="AJ175">
        <v>1</v>
      </c>
      <c r="AK175">
        <v>0</v>
      </c>
      <c r="AL175">
        <v>1</v>
      </c>
      <c r="AM175">
        <v>0</v>
      </c>
      <c r="AN175">
        <v>0</v>
      </c>
      <c r="AO175">
        <v>3</v>
      </c>
      <c r="AP175">
        <v>5</v>
      </c>
      <c r="AQ175">
        <v>2</v>
      </c>
      <c r="AR175">
        <v>1</v>
      </c>
      <c r="AS175">
        <v>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2</v>
      </c>
      <c r="BC175">
        <v>19</v>
      </c>
      <c r="BD175">
        <v>4</v>
      </c>
      <c r="BE175">
        <v>0</v>
      </c>
      <c r="BF175">
        <v>13</v>
      </c>
      <c r="BG175">
        <v>0</v>
      </c>
      <c r="BH175">
        <v>1</v>
      </c>
      <c r="BI175">
        <v>0</v>
      </c>
      <c r="BJ175">
        <v>0</v>
      </c>
      <c r="BK175">
        <v>1</v>
      </c>
      <c r="BL175">
        <v>0</v>
      </c>
      <c r="BM175">
        <v>0</v>
      </c>
      <c r="BN175">
        <v>19</v>
      </c>
      <c r="BO175">
        <v>126</v>
      </c>
      <c r="BP175">
        <v>93</v>
      </c>
      <c r="BQ175">
        <v>5</v>
      </c>
      <c r="BR175">
        <v>3</v>
      </c>
      <c r="BS175">
        <v>21</v>
      </c>
      <c r="BT175">
        <v>2</v>
      </c>
      <c r="BU175">
        <v>0</v>
      </c>
      <c r="BV175">
        <v>2</v>
      </c>
      <c r="BW175">
        <v>0</v>
      </c>
      <c r="BX175">
        <v>0</v>
      </c>
      <c r="BY175">
        <v>0</v>
      </c>
      <c r="BZ175">
        <v>126</v>
      </c>
      <c r="CA175">
        <v>2</v>
      </c>
      <c r="CB175">
        <v>1</v>
      </c>
      <c r="CC175">
        <v>0</v>
      </c>
      <c r="CD175">
        <v>0</v>
      </c>
      <c r="CE175">
        <v>0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2</v>
      </c>
      <c r="CM175">
        <v>6</v>
      </c>
      <c r="CN175">
        <v>6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6</v>
      </c>
      <c r="CY175">
        <v>14</v>
      </c>
      <c r="CZ175">
        <v>10</v>
      </c>
      <c r="DA175">
        <v>2</v>
      </c>
      <c r="DB175">
        <v>0</v>
      </c>
      <c r="DC175">
        <v>0</v>
      </c>
      <c r="DD175">
        <v>1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14</v>
      </c>
      <c r="DK175">
        <v>50</v>
      </c>
      <c r="DL175">
        <v>3</v>
      </c>
      <c r="DM175">
        <v>1</v>
      </c>
      <c r="DN175">
        <v>0</v>
      </c>
      <c r="DO175">
        <v>46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50</v>
      </c>
      <c r="DW175">
        <v>19</v>
      </c>
      <c r="DX175">
        <v>6</v>
      </c>
      <c r="DY175">
        <v>3</v>
      </c>
      <c r="DZ175">
        <v>0</v>
      </c>
      <c r="EA175">
        <v>1</v>
      </c>
      <c r="EB175">
        <v>0</v>
      </c>
      <c r="EC175">
        <v>1</v>
      </c>
      <c r="ED175">
        <v>7</v>
      </c>
      <c r="EE175">
        <v>1</v>
      </c>
      <c r="EF175">
        <v>0</v>
      </c>
      <c r="EG175">
        <v>0</v>
      </c>
      <c r="EH175">
        <v>19</v>
      </c>
      <c r="EI175">
        <v>1</v>
      </c>
      <c r="EJ175">
        <v>0</v>
      </c>
      <c r="EK175">
        <v>0</v>
      </c>
      <c r="EL175">
        <v>0</v>
      </c>
      <c r="EM175">
        <v>1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3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1</v>
      </c>
      <c r="EZ175">
        <v>0</v>
      </c>
      <c r="FA175">
        <v>1</v>
      </c>
      <c r="FB175">
        <v>0</v>
      </c>
      <c r="FC175">
        <v>1</v>
      </c>
      <c r="FD175">
        <v>3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</row>
    <row r="176" spans="1:172" ht="14.25">
      <c r="A176">
        <v>171</v>
      </c>
      <c r="B176" t="str">
        <f>"101403"</f>
        <v>101403</v>
      </c>
      <c r="C176" t="str">
        <f>"Brąszewice"</f>
        <v>Brąszewice</v>
      </c>
      <c r="D176" t="str">
        <f t="shared" si="28"/>
        <v>sieradzki</v>
      </c>
      <c r="E176" t="str">
        <f t="shared" si="22"/>
        <v>łódzkie</v>
      </c>
      <c r="F176">
        <v>4</v>
      </c>
      <c r="G176" t="str">
        <f>"Szkoła Podstawowa w Żurawiu, Żuraw 18, 98-277 Brąszewice"</f>
        <v>Szkoła Podstawowa w Żurawiu, Żuraw 18, 98-277 Brąszewice</v>
      </c>
      <c r="H176">
        <v>572</v>
      </c>
      <c r="I176">
        <v>572</v>
      </c>
      <c r="J176">
        <v>0</v>
      </c>
      <c r="K176">
        <v>400</v>
      </c>
      <c r="L176">
        <v>318</v>
      </c>
      <c r="M176">
        <v>82</v>
      </c>
      <c r="N176">
        <v>82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82</v>
      </c>
      <c r="Z176">
        <v>0</v>
      </c>
      <c r="AA176">
        <v>0</v>
      </c>
      <c r="AB176">
        <v>82</v>
      </c>
      <c r="AC176">
        <v>1</v>
      </c>
      <c r="AD176">
        <v>81</v>
      </c>
      <c r="AE176">
        <v>1</v>
      </c>
      <c r="AF176">
        <v>0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1</v>
      </c>
      <c r="AQ176">
        <v>1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1</v>
      </c>
      <c r="BC176">
        <v>3</v>
      </c>
      <c r="BD176">
        <v>0</v>
      </c>
      <c r="BE176">
        <v>0</v>
      </c>
      <c r="BF176">
        <v>3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3</v>
      </c>
      <c r="BO176">
        <v>41</v>
      </c>
      <c r="BP176">
        <v>18</v>
      </c>
      <c r="BQ176">
        <v>6</v>
      </c>
      <c r="BR176">
        <v>0</v>
      </c>
      <c r="BS176">
        <v>12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0</v>
      </c>
      <c r="BZ176">
        <v>41</v>
      </c>
      <c r="CA176">
        <v>2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1</v>
      </c>
      <c r="CJ176">
        <v>0</v>
      </c>
      <c r="CK176">
        <v>1</v>
      </c>
      <c r="CL176">
        <v>2</v>
      </c>
      <c r="CM176">
        <v>4</v>
      </c>
      <c r="CN176">
        <v>3</v>
      </c>
      <c r="CO176">
        <v>0</v>
      </c>
      <c r="CP176">
        <v>0</v>
      </c>
      <c r="CQ176">
        <v>0</v>
      </c>
      <c r="CR176">
        <v>0</v>
      </c>
      <c r="CS176">
        <v>1</v>
      </c>
      <c r="CT176">
        <v>0</v>
      </c>
      <c r="CU176">
        <v>0</v>
      </c>
      <c r="CV176">
        <v>0</v>
      </c>
      <c r="CW176">
        <v>0</v>
      </c>
      <c r="CX176">
        <v>4</v>
      </c>
      <c r="CY176">
        <v>5</v>
      </c>
      <c r="CZ176">
        <v>1</v>
      </c>
      <c r="DA176">
        <v>0</v>
      </c>
      <c r="DB176">
        <v>0</v>
      </c>
      <c r="DC176">
        <v>0</v>
      </c>
      <c r="DD176">
        <v>3</v>
      </c>
      <c r="DE176">
        <v>1</v>
      </c>
      <c r="DF176">
        <v>0</v>
      </c>
      <c r="DG176">
        <v>0</v>
      </c>
      <c r="DH176">
        <v>0</v>
      </c>
      <c r="DI176">
        <v>0</v>
      </c>
      <c r="DJ176">
        <v>5</v>
      </c>
      <c r="DK176">
        <v>13</v>
      </c>
      <c r="DL176">
        <v>5</v>
      </c>
      <c r="DM176">
        <v>0</v>
      </c>
      <c r="DN176">
        <v>0</v>
      </c>
      <c r="DO176">
        <v>7</v>
      </c>
      <c r="DP176">
        <v>1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13</v>
      </c>
      <c r="DW176">
        <v>10</v>
      </c>
      <c r="DX176">
        <v>6</v>
      </c>
      <c r="DY176">
        <v>0</v>
      </c>
      <c r="DZ176">
        <v>1</v>
      </c>
      <c r="EA176">
        <v>0</v>
      </c>
      <c r="EB176">
        <v>0</v>
      </c>
      <c r="EC176">
        <v>0</v>
      </c>
      <c r="ED176">
        <v>3</v>
      </c>
      <c r="EE176">
        <v>0</v>
      </c>
      <c r="EF176">
        <v>0</v>
      </c>
      <c r="EG176">
        <v>0</v>
      </c>
      <c r="EH176">
        <v>10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1</v>
      </c>
      <c r="ET176">
        <v>0</v>
      </c>
      <c r="EU176">
        <v>1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1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</row>
    <row r="177" spans="1:172" ht="14.25">
      <c r="A177">
        <v>172</v>
      </c>
      <c r="B177" t="str">
        <f>"101404"</f>
        <v>101404</v>
      </c>
      <c r="C177" t="str">
        <f>"Brzeźnio"</f>
        <v>Brzeźnio</v>
      </c>
      <c r="D177" t="str">
        <f t="shared" si="28"/>
        <v>sieradzki</v>
      </c>
      <c r="E177" t="str">
        <f t="shared" si="22"/>
        <v>łódzkie</v>
      </c>
      <c r="F177">
        <v>1</v>
      </c>
      <c r="G177" t="str">
        <f>"Szkoła Podstawowa w Brzeźniu, Bronisławów ul.Szkolna 2, 98-275 Brzeźnio"</f>
        <v>Szkoła Podstawowa w Brzeźniu, Bronisławów ul.Szkolna 2, 98-275 Brzeźnio</v>
      </c>
      <c r="H177">
        <v>1192</v>
      </c>
      <c r="I177">
        <v>1192</v>
      </c>
      <c r="J177">
        <v>0</v>
      </c>
      <c r="K177">
        <v>840</v>
      </c>
      <c r="L177">
        <v>597</v>
      </c>
      <c r="M177">
        <v>243</v>
      </c>
      <c r="N177">
        <v>243</v>
      </c>
      <c r="O177">
        <v>0</v>
      </c>
      <c r="P177">
        <v>0</v>
      </c>
      <c r="Q177">
        <v>4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243</v>
      </c>
      <c r="Z177">
        <v>0</v>
      </c>
      <c r="AA177">
        <v>0</v>
      </c>
      <c r="AB177">
        <v>243</v>
      </c>
      <c r="AC177">
        <v>12</v>
      </c>
      <c r="AD177">
        <v>231</v>
      </c>
      <c r="AE177">
        <v>5</v>
      </c>
      <c r="AF177">
        <v>1</v>
      </c>
      <c r="AG177">
        <v>0</v>
      </c>
      <c r="AH177">
        <v>1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2</v>
      </c>
      <c r="AP177">
        <v>5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21</v>
      </c>
      <c r="BD177">
        <v>5</v>
      </c>
      <c r="BE177">
        <v>1</v>
      </c>
      <c r="BF177">
        <v>13</v>
      </c>
      <c r="BG177">
        <v>1</v>
      </c>
      <c r="BH177">
        <v>1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21</v>
      </c>
      <c r="BO177">
        <v>51</v>
      </c>
      <c r="BP177">
        <v>41</v>
      </c>
      <c r="BQ177">
        <v>2</v>
      </c>
      <c r="BR177">
        <v>1</v>
      </c>
      <c r="BS177">
        <v>6</v>
      </c>
      <c r="BT177">
        <v>0</v>
      </c>
      <c r="BU177">
        <v>0</v>
      </c>
      <c r="BV177">
        <v>1</v>
      </c>
      <c r="BW177">
        <v>0</v>
      </c>
      <c r="BX177">
        <v>0</v>
      </c>
      <c r="BY177">
        <v>0</v>
      </c>
      <c r="BZ177">
        <v>51</v>
      </c>
      <c r="CA177">
        <v>5</v>
      </c>
      <c r="CB177">
        <v>0</v>
      </c>
      <c r="CC177">
        <v>0</v>
      </c>
      <c r="CD177">
        <v>3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5</v>
      </c>
      <c r="CM177">
        <v>2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1</v>
      </c>
      <c r="CX177">
        <v>2</v>
      </c>
      <c r="CY177">
        <v>20</v>
      </c>
      <c r="CZ177">
        <v>14</v>
      </c>
      <c r="DA177">
        <v>1</v>
      </c>
      <c r="DB177">
        <v>1</v>
      </c>
      <c r="DC177">
        <v>2</v>
      </c>
      <c r="DD177">
        <v>0</v>
      </c>
      <c r="DE177">
        <v>0</v>
      </c>
      <c r="DF177">
        <v>0</v>
      </c>
      <c r="DG177">
        <v>1</v>
      </c>
      <c r="DH177">
        <v>0</v>
      </c>
      <c r="DI177">
        <v>1</v>
      </c>
      <c r="DJ177">
        <v>20</v>
      </c>
      <c r="DK177">
        <v>57</v>
      </c>
      <c r="DL177">
        <v>27</v>
      </c>
      <c r="DM177">
        <v>4</v>
      </c>
      <c r="DN177">
        <v>0</v>
      </c>
      <c r="DO177">
        <v>26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57</v>
      </c>
      <c r="DW177">
        <v>65</v>
      </c>
      <c r="DX177">
        <v>11</v>
      </c>
      <c r="DY177">
        <v>0</v>
      </c>
      <c r="DZ177">
        <v>1</v>
      </c>
      <c r="EA177">
        <v>35</v>
      </c>
      <c r="EB177">
        <v>2</v>
      </c>
      <c r="EC177">
        <v>12</v>
      </c>
      <c r="ED177">
        <v>2</v>
      </c>
      <c r="EE177">
        <v>1</v>
      </c>
      <c r="EF177">
        <v>1</v>
      </c>
      <c r="EG177">
        <v>0</v>
      </c>
      <c r="EH177">
        <v>65</v>
      </c>
      <c r="EI177">
        <v>1</v>
      </c>
      <c r="EJ177">
        <v>0</v>
      </c>
      <c r="EK177">
        <v>1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1</v>
      </c>
      <c r="ES177">
        <v>3</v>
      </c>
      <c r="ET177">
        <v>2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1</v>
      </c>
      <c r="FB177">
        <v>0</v>
      </c>
      <c r="FC177">
        <v>0</v>
      </c>
      <c r="FD177">
        <v>3</v>
      </c>
      <c r="FE177">
        <v>1</v>
      </c>
      <c r="FF177">
        <v>1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1</v>
      </c>
    </row>
    <row r="178" spans="1:172" ht="14.25">
      <c r="A178">
        <v>173</v>
      </c>
      <c r="B178" t="str">
        <f>"101404"</f>
        <v>101404</v>
      </c>
      <c r="C178" t="str">
        <f>"Brzeźnio"</f>
        <v>Brzeźnio</v>
      </c>
      <c r="D178" t="str">
        <f t="shared" si="28"/>
        <v>sieradzki</v>
      </c>
      <c r="E178" t="str">
        <f t="shared" si="22"/>
        <v>łódzkie</v>
      </c>
      <c r="F178">
        <v>2</v>
      </c>
      <c r="G178" t="str">
        <f>"Szkoła Podstawowa w Brzeźniu, Bronisławów ul.Szkolna 2, 98-275 Brzeźnio"</f>
        <v>Szkoła Podstawowa w Brzeźniu, Bronisławów ul.Szkolna 2, 98-275 Brzeźnio</v>
      </c>
      <c r="H178">
        <v>1122</v>
      </c>
      <c r="I178">
        <v>1122</v>
      </c>
      <c r="J178">
        <v>0</v>
      </c>
      <c r="K178">
        <v>790</v>
      </c>
      <c r="L178">
        <v>643</v>
      </c>
      <c r="M178">
        <v>147</v>
      </c>
      <c r="N178">
        <v>147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147</v>
      </c>
      <c r="Z178">
        <v>0</v>
      </c>
      <c r="AA178">
        <v>0</v>
      </c>
      <c r="AB178">
        <v>147</v>
      </c>
      <c r="AC178">
        <v>5</v>
      </c>
      <c r="AD178">
        <v>142</v>
      </c>
      <c r="AE178">
        <v>5</v>
      </c>
      <c r="AF178">
        <v>1</v>
      </c>
      <c r="AG178">
        <v>1</v>
      </c>
      <c r="AH178">
        <v>2</v>
      </c>
      <c r="AI178">
        <v>1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5</v>
      </c>
      <c r="AQ178">
        <v>4</v>
      </c>
      <c r="AR178">
        <v>4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4</v>
      </c>
      <c r="BC178">
        <v>11</v>
      </c>
      <c r="BD178">
        <v>3</v>
      </c>
      <c r="BE178">
        <v>1</v>
      </c>
      <c r="BF178">
        <v>6</v>
      </c>
      <c r="BG178">
        <v>0</v>
      </c>
      <c r="BH178">
        <v>0</v>
      </c>
      <c r="BI178">
        <v>0</v>
      </c>
      <c r="BJ178">
        <v>1</v>
      </c>
      <c r="BK178">
        <v>0</v>
      </c>
      <c r="BL178">
        <v>0</v>
      </c>
      <c r="BM178">
        <v>0</v>
      </c>
      <c r="BN178">
        <v>11</v>
      </c>
      <c r="BO178">
        <v>30</v>
      </c>
      <c r="BP178">
        <v>20</v>
      </c>
      <c r="BQ178">
        <v>1</v>
      </c>
      <c r="BR178">
        <v>2</v>
      </c>
      <c r="BS178">
        <v>4</v>
      </c>
      <c r="BT178">
        <v>0</v>
      </c>
      <c r="BU178">
        <v>0</v>
      </c>
      <c r="BV178">
        <v>0</v>
      </c>
      <c r="BW178">
        <v>1</v>
      </c>
      <c r="BX178">
        <v>0</v>
      </c>
      <c r="BY178">
        <v>2</v>
      </c>
      <c r="BZ178">
        <v>30</v>
      </c>
      <c r="CA178">
        <v>4</v>
      </c>
      <c r="CB178">
        <v>2</v>
      </c>
      <c r="CC178">
        <v>1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1</v>
      </c>
      <c r="CJ178">
        <v>0</v>
      </c>
      <c r="CK178">
        <v>0</v>
      </c>
      <c r="CL178">
        <v>4</v>
      </c>
      <c r="CM178">
        <v>4</v>
      </c>
      <c r="CN178">
        <v>2</v>
      </c>
      <c r="CO178">
        <v>0</v>
      </c>
      <c r="CP178">
        <v>0</v>
      </c>
      <c r="CQ178">
        <v>2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4</v>
      </c>
      <c r="CY178">
        <v>10</v>
      </c>
      <c r="CZ178">
        <v>6</v>
      </c>
      <c r="DA178">
        <v>1</v>
      </c>
      <c r="DB178">
        <v>0</v>
      </c>
      <c r="DC178">
        <v>2</v>
      </c>
      <c r="DD178">
        <v>0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10</v>
      </c>
      <c r="DK178">
        <v>53</v>
      </c>
      <c r="DL178">
        <v>17</v>
      </c>
      <c r="DM178">
        <v>8</v>
      </c>
      <c r="DN178">
        <v>0</v>
      </c>
      <c r="DO178">
        <v>26</v>
      </c>
      <c r="DP178">
        <v>0</v>
      </c>
      <c r="DQ178">
        <v>0</v>
      </c>
      <c r="DR178">
        <v>1</v>
      </c>
      <c r="DS178">
        <v>1</v>
      </c>
      <c r="DT178">
        <v>0</v>
      </c>
      <c r="DU178">
        <v>0</v>
      </c>
      <c r="DV178">
        <v>53</v>
      </c>
      <c r="DW178">
        <v>19</v>
      </c>
      <c r="DX178">
        <v>5</v>
      </c>
      <c r="DY178">
        <v>0</v>
      </c>
      <c r="DZ178">
        <v>0</v>
      </c>
      <c r="EA178">
        <v>7</v>
      </c>
      <c r="EB178">
        <v>0</v>
      </c>
      <c r="EC178">
        <v>3</v>
      </c>
      <c r="ED178">
        <v>4</v>
      </c>
      <c r="EE178">
        <v>0</v>
      </c>
      <c r="EF178">
        <v>0</v>
      </c>
      <c r="EG178">
        <v>0</v>
      </c>
      <c r="EH178">
        <v>19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2</v>
      </c>
      <c r="ET178">
        <v>1</v>
      </c>
      <c r="EU178">
        <v>1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2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</row>
    <row r="179" spans="1:172" ht="14.25">
      <c r="A179">
        <v>174</v>
      </c>
      <c r="B179" t="str">
        <f>"101404"</f>
        <v>101404</v>
      </c>
      <c r="C179" t="str">
        <f>"Brzeźnio"</f>
        <v>Brzeźnio</v>
      </c>
      <c r="D179" t="str">
        <f t="shared" si="28"/>
        <v>sieradzki</v>
      </c>
      <c r="E179" t="str">
        <f t="shared" si="22"/>
        <v>łódzkie</v>
      </c>
      <c r="F179">
        <v>3</v>
      </c>
      <c r="G179" t="str">
        <f>"Szkoła Podstawowa w Barczewie, Barczew 3, 98-275 Brzeźnio"</f>
        <v>Szkoła Podstawowa w Barczewie, Barczew 3, 98-275 Brzeźnio</v>
      </c>
      <c r="H179">
        <v>1003</v>
      </c>
      <c r="I179">
        <v>1003</v>
      </c>
      <c r="J179">
        <v>0</v>
      </c>
      <c r="K179">
        <v>700</v>
      </c>
      <c r="L179">
        <v>512</v>
      </c>
      <c r="M179">
        <v>188</v>
      </c>
      <c r="N179">
        <v>188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188</v>
      </c>
      <c r="Z179">
        <v>0</v>
      </c>
      <c r="AA179">
        <v>0</v>
      </c>
      <c r="AB179">
        <v>188</v>
      </c>
      <c r="AC179">
        <v>9</v>
      </c>
      <c r="AD179">
        <v>179</v>
      </c>
      <c r="AE179">
        <v>6</v>
      </c>
      <c r="AF179">
        <v>1</v>
      </c>
      <c r="AG179">
        <v>2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2</v>
      </c>
      <c r="AO179">
        <v>0</v>
      </c>
      <c r="AP179">
        <v>6</v>
      </c>
      <c r="AQ179">
        <v>1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16</v>
      </c>
      <c r="BD179">
        <v>4</v>
      </c>
      <c r="BE179">
        <v>0</v>
      </c>
      <c r="BF179">
        <v>7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4</v>
      </c>
      <c r="BN179">
        <v>16</v>
      </c>
      <c r="BO179">
        <v>57</v>
      </c>
      <c r="BP179">
        <v>42</v>
      </c>
      <c r="BQ179">
        <v>4</v>
      </c>
      <c r="BR179">
        <v>2</v>
      </c>
      <c r="BS179">
        <v>7</v>
      </c>
      <c r="BT179">
        <v>0</v>
      </c>
      <c r="BU179">
        <v>0</v>
      </c>
      <c r="BV179">
        <v>1</v>
      </c>
      <c r="BW179">
        <v>0</v>
      </c>
      <c r="BX179">
        <v>1</v>
      </c>
      <c r="BY179">
        <v>0</v>
      </c>
      <c r="BZ179">
        <v>57</v>
      </c>
      <c r="CA179">
        <v>6</v>
      </c>
      <c r="CB179">
        <v>1</v>
      </c>
      <c r="CC179">
        <v>1</v>
      </c>
      <c r="CD179">
        <v>0</v>
      </c>
      <c r="CE179">
        <v>0</v>
      </c>
      <c r="CF179">
        <v>1</v>
      </c>
      <c r="CG179">
        <v>0</v>
      </c>
      <c r="CH179">
        <v>0</v>
      </c>
      <c r="CI179">
        <v>0</v>
      </c>
      <c r="CJ179">
        <v>1</v>
      </c>
      <c r="CK179">
        <v>2</v>
      </c>
      <c r="CL179">
        <v>6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1</v>
      </c>
      <c r="CY179">
        <v>10</v>
      </c>
      <c r="CZ179">
        <v>6</v>
      </c>
      <c r="DA179">
        <v>0</v>
      </c>
      <c r="DB179">
        <v>0</v>
      </c>
      <c r="DC179">
        <v>1</v>
      </c>
      <c r="DD179">
        <v>0</v>
      </c>
      <c r="DE179">
        <v>0</v>
      </c>
      <c r="DF179">
        <v>0</v>
      </c>
      <c r="DG179">
        <v>0</v>
      </c>
      <c r="DH179">
        <v>1</v>
      </c>
      <c r="DI179">
        <v>2</v>
      </c>
      <c r="DJ179">
        <v>10</v>
      </c>
      <c r="DK179">
        <v>47</v>
      </c>
      <c r="DL179">
        <v>18</v>
      </c>
      <c r="DM179">
        <v>3</v>
      </c>
      <c r="DN179">
        <v>0</v>
      </c>
      <c r="DO179">
        <v>19</v>
      </c>
      <c r="DP179">
        <v>2</v>
      </c>
      <c r="DQ179">
        <v>2</v>
      </c>
      <c r="DR179">
        <v>0</v>
      </c>
      <c r="DS179">
        <v>1</v>
      </c>
      <c r="DT179">
        <v>1</v>
      </c>
      <c r="DU179">
        <v>1</v>
      </c>
      <c r="DV179">
        <v>47</v>
      </c>
      <c r="DW179">
        <v>29</v>
      </c>
      <c r="DX179">
        <v>12</v>
      </c>
      <c r="DY179">
        <v>2</v>
      </c>
      <c r="DZ179">
        <v>0</v>
      </c>
      <c r="EA179">
        <v>8</v>
      </c>
      <c r="EB179">
        <v>1</v>
      </c>
      <c r="EC179">
        <v>1</v>
      </c>
      <c r="ED179">
        <v>2</v>
      </c>
      <c r="EE179">
        <v>0</v>
      </c>
      <c r="EF179">
        <v>1</v>
      </c>
      <c r="EG179">
        <v>2</v>
      </c>
      <c r="EH179">
        <v>29</v>
      </c>
      <c r="EI179">
        <v>1</v>
      </c>
      <c r="EJ179">
        <v>0</v>
      </c>
      <c r="EK179">
        <v>1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1</v>
      </c>
      <c r="ES179">
        <v>1</v>
      </c>
      <c r="ET179">
        <v>1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1</v>
      </c>
      <c r="FE179">
        <v>4</v>
      </c>
      <c r="FF179">
        <v>1</v>
      </c>
      <c r="FG179">
        <v>0</v>
      </c>
      <c r="FH179">
        <v>1</v>
      </c>
      <c r="FI179">
        <v>0</v>
      </c>
      <c r="FJ179">
        <v>2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4</v>
      </c>
    </row>
    <row r="180" spans="1:172" ht="14.25">
      <c r="A180">
        <v>175</v>
      </c>
      <c r="B180" t="str">
        <f>"101404"</f>
        <v>101404</v>
      </c>
      <c r="C180" t="str">
        <f>"Brzeźnio"</f>
        <v>Brzeźnio</v>
      </c>
      <c r="D180" t="str">
        <f t="shared" si="28"/>
        <v>sieradzki</v>
      </c>
      <c r="E180" t="str">
        <f t="shared" si="22"/>
        <v>łódzkie</v>
      </c>
      <c r="F180">
        <v>4</v>
      </c>
      <c r="G180" t="str">
        <f>"Szkoła Podstawowa w Kliczkowie Wielkim, Kliczków Wielki 45a, 98-275 Brzeźnio"</f>
        <v>Szkoła Podstawowa w Kliczkowie Wielkim, Kliczków Wielki 45a, 98-275 Brzeźnio</v>
      </c>
      <c r="H180">
        <v>950</v>
      </c>
      <c r="I180">
        <v>950</v>
      </c>
      <c r="J180">
        <v>0</v>
      </c>
      <c r="K180">
        <v>670</v>
      </c>
      <c r="L180">
        <v>526</v>
      </c>
      <c r="M180">
        <v>144</v>
      </c>
      <c r="N180">
        <v>144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144</v>
      </c>
      <c r="Z180">
        <v>0</v>
      </c>
      <c r="AA180">
        <v>0</v>
      </c>
      <c r="AB180">
        <v>144</v>
      </c>
      <c r="AC180">
        <v>1</v>
      </c>
      <c r="AD180">
        <v>143</v>
      </c>
      <c r="AE180">
        <v>1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10</v>
      </c>
      <c r="BD180">
        <v>3</v>
      </c>
      <c r="BE180">
        <v>0</v>
      </c>
      <c r="BF180">
        <v>6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1</v>
      </c>
      <c r="BM180">
        <v>0</v>
      </c>
      <c r="BN180">
        <v>10</v>
      </c>
      <c r="BO180">
        <v>69</v>
      </c>
      <c r="BP180">
        <v>58</v>
      </c>
      <c r="BQ180">
        <v>2</v>
      </c>
      <c r="BR180">
        <v>1</v>
      </c>
      <c r="BS180">
        <v>5</v>
      </c>
      <c r="BT180">
        <v>0</v>
      </c>
      <c r="BU180">
        <v>1</v>
      </c>
      <c r="BV180">
        <v>2</v>
      </c>
      <c r="BW180">
        <v>0</v>
      </c>
      <c r="BX180">
        <v>0</v>
      </c>
      <c r="BY180">
        <v>0</v>
      </c>
      <c r="BZ180">
        <v>69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4</v>
      </c>
      <c r="CN180">
        <v>3</v>
      </c>
      <c r="CO180">
        <v>0</v>
      </c>
      <c r="CP180">
        <v>0</v>
      </c>
      <c r="CQ180">
        <v>1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4</v>
      </c>
      <c r="CY180">
        <v>8</v>
      </c>
      <c r="CZ180">
        <v>8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8</v>
      </c>
      <c r="DK180">
        <v>24</v>
      </c>
      <c r="DL180">
        <v>10</v>
      </c>
      <c r="DM180">
        <v>0</v>
      </c>
      <c r="DN180">
        <v>0</v>
      </c>
      <c r="DO180">
        <v>14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24</v>
      </c>
      <c r="DW180">
        <v>22</v>
      </c>
      <c r="DX180">
        <v>6</v>
      </c>
      <c r="DY180">
        <v>2</v>
      </c>
      <c r="DZ180">
        <v>0</v>
      </c>
      <c r="EA180">
        <v>2</v>
      </c>
      <c r="EB180">
        <v>0</v>
      </c>
      <c r="EC180">
        <v>4</v>
      </c>
      <c r="ED180">
        <v>5</v>
      </c>
      <c r="EE180">
        <v>1</v>
      </c>
      <c r="EF180">
        <v>1</v>
      </c>
      <c r="EG180">
        <v>1</v>
      </c>
      <c r="EH180">
        <v>22</v>
      </c>
      <c r="EI180">
        <v>1</v>
      </c>
      <c r="EJ180">
        <v>1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1</v>
      </c>
      <c r="ES180">
        <v>1</v>
      </c>
      <c r="ET180">
        <v>0</v>
      </c>
      <c r="EU180">
        <v>0</v>
      </c>
      <c r="EV180">
        <v>0</v>
      </c>
      <c r="EW180">
        <v>1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1</v>
      </c>
      <c r="FE180">
        <v>3</v>
      </c>
      <c r="FF180">
        <v>0</v>
      </c>
      <c r="FG180">
        <v>0</v>
      </c>
      <c r="FH180">
        <v>0</v>
      </c>
      <c r="FI180">
        <v>1</v>
      </c>
      <c r="FJ180">
        <v>0</v>
      </c>
      <c r="FK180">
        <v>0</v>
      </c>
      <c r="FL180">
        <v>0</v>
      </c>
      <c r="FM180">
        <v>2</v>
      </c>
      <c r="FN180">
        <v>0</v>
      </c>
      <c r="FO180">
        <v>0</v>
      </c>
      <c r="FP180">
        <v>3</v>
      </c>
    </row>
    <row r="181" spans="1:172" ht="14.25">
      <c r="A181">
        <v>176</v>
      </c>
      <c r="B181" t="str">
        <f>"101404"</f>
        <v>101404</v>
      </c>
      <c r="C181" t="str">
        <f>"Brzeźnio"</f>
        <v>Brzeźnio</v>
      </c>
      <c r="D181" t="str">
        <f t="shared" si="28"/>
        <v>sieradzki</v>
      </c>
      <c r="E181" t="str">
        <f t="shared" si="22"/>
        <v>łódzkie</v>
      </c>
      <c r="F181">
        <v>5</v>
      </c>
      <c r="G181" t="str">
        <f>"Szkoła Podstawowa w Ostrowie, Ostrów 21, 98-275 Brzeźnio"</f>
        <v>Szkoła Podstawowa w Ostrowie, Ostrów 21, 98-275 Brzeźnio</v>
      </c>
      <c r="H181">
        <v>776</v>
      </c>
      <c r="I181">
        <v>776</v>
      </c>
      <c r="J181">
        <v>0</v>
      </c>
      <c r="K181">
        <v>550</v>
      </c>
      <c r="L181">
        <v>444</v>
      </c>
      <c r="M181">
        <v>106</v>
      </c>
      <c r="N181">
        <v>106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106</v>
      </c>
      <c r="Z181">
        <v>0</v>
      </c>
      <c r="AA181">
        <v>0</v>
      </c>
      <c r="AB181">
        <v>106</v>
      </c>
      <c r="AC181">
        <v>13</v>
      </c>
      <c r="AD181">
        <v>93</v>
      </c>
      <c r="AE181">
        <v>3</v>
      </c>
      <c r="AF181">
        <v>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1</v>
      </c>
      <c r="AN181">
        <v>0</v>
      </c>
      <c r="AO181">
        <v>1</v>
      </c>
      <c r="AP181">
        <v>3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7</v>
      </c>
      <c r="BD181">
        <v>5</v>
      </c>
      <c r="BE181">
        <v>0</v>
      </c>
      <c r="BF181">
        <v>2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7</v>
      </c>
      <c r="BO181">
        <v>39</v>
      </c>
      <c r="BP181">
        <v>26</v>
      </c>
      <c r="BQ181">
        <v>2</v>
      </c>
      <c r="BR181">
        <v>0</v>
      </c>
      <c r="BS181">
        <v>8</v>
      </c>
      <c r="BT181">
        <v>0</v>
      </c>
      <c r="BU181">
        <v>0</v>
      </c>
      <c r="BV181">
        <v>2</v>
      </c>
      <c r="BW181">
        <v>0</v>
      </c>
      <c r="BX181">
        <v>0</v>
      </c>
      <c r="BY181">
        <v>1</v>
      </c>
      <c r="BZ181">
        <v>39</v>
      </c>
      <c r="CA181">
        <v>2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1</v>
      </c>
      <c r="CL181">
        <v>2</v>
      </c>
      <c r="CM181">
        <v>1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1</v>
      </c>
      <c r="CY181">
        <v>4</v>
      </c>
      <c r="CZ181">
        <v>2</v>
      </c>
      <c r="DA181">
        <v>0</v>
      </c>
      <c r="DB181">
        <v>0</v>
      </c>
      <c r="DC181">
        <v>0</v>
      </c>
      <c r="DD181">
        <v>2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4</v>
      </c>
      <c r="DK181">
        <v>17</v>
      </c>
      <c r="DL181">
        <v>5</v>
      </c>
      <c r="DM181">
        <v>2</v>
      </c>
      <c r="DN181">
        <v>0</v>
      </c>
      <c r="DO181">
        <v>10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17</v>
      </c>
      <c r="DW181">
        <v>19</v>
      </c>
      <c r="DX181">
        <v>2</v>
      </c>
      <c r="DY181">
        <v>0</v>
      </c>
      <c r="DZ181">
        <v>1</v>
      </c>
      <c r="EA181">
        <v>14</v>
      </c>
      <c r="EB181">
        <v>0</v>
      </c>
      <c r="EC181">
        <v>2</v>
      </c>
      <c r="ED181">
        <v>0</v>
      </c>
      <c r="EE181">
        <v>0</v>
      </c>
      <c r="EF181">
        <v>0</v>
      </c>
      <c r="EG181">
        <v>0</v>
      </c>
      <c r="EH181">
        <v>19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1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1</v>
      </c>
      <c r="FD181">
        <v>1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</row>
    <row r="182" spans="1:172" ht="14.25">
      <c r="A182">
        <v>177</v>
      </c>
      <c r="B182" t="str">
        <f aca="true" t="shared" si="29" ref="B182:B187">"101405"</f>
        <v>101405</v>
      </c>
      <c r="C182" t="str">
        <f aca="true" t="shared" si="30" ref="C182:C187">"Burzenin"</f>
        <v>Burzenin</v>
      </c>
      <c r="D182" t="str">
        <f t="shared" si="28"/>
        <v>sieradzki</v>
      </c>
      <c r="E182" t="str">
        <f t="shared" si="22"/>
        <v>łódzkie</v>
      </c>
      <c r="F182">
        <v>1</v>
      </c>
      <c r="G182" t="str">
        <f>"Zespół Szkół w Burzeninie, Sieradzka 11, 98-260 Burzenin"</f>
        <v>Zespół Szkół w Burzeninie, Sieradzka 11, 98-260 Burzenin</v>
      </c>
      <c r="H182">
        <v>1459</v>
      </c>
      <c r="I182">
        <v>1459</v>
      </c>
      <c r="J182">
        <v>0</v>
      </c>
      <c r="K182">
        <v>1030</v>
      </c>
      <c r="L182">
        <v>780</v>
      </c>
      <c r="M182">
        <v>250</v>
      </c>
      <c r="N182">
        <v>250</v>
      </c>
      <c r="O182">
        <v>0</v>
      </c>
      <c r="P182">
        <v>0</v>
      </c>
      <c r="Q182">
        <v>9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250</v>
      </c>
      <c r="Z182">
        <v>0</v>
      </c>
      <c r="AA182">
        <v>0</v>
      </c>
      <c r="AB182">
        <v>250</v>
      </c>
      <c r="AC182">
        <v>12</v>
      </c>
      <c r="AD182">
        <v>238</v>
      </c>
      <c r="AE182">
        <v>5</v>
      </c>
      <c r="AF182">
        <v>1</v>
      </c>
      <c r="AG182">
        <v>0</v>
      </c>
      <c r="AH182">
        <v>2</v>
      </c>
      <c r="AI182">
        <v>0</v>
      </c>
      <c r="AJ182">
        <v>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5</v>
      </c>
      <c r="AQ182">
        <v>1</v>
      </c>
      <c r="AR182">
        <v>0</v>
      </c>
      <c r="AS182">
        <v>0</v>
      </c>
      <c r="AT182">
        <v>0</v>
      </c>
      <c r="AU182">
        <v>0</v>
      </c>
      <c r="AV182">
        <v>1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31</v>
      </c>
      <c r="BD182">
        <v>11</v>
      </c>
      <c r="BE182">
        <v>2</v>
      </c>
      <c r="BF182">
        <v>10</v>
      </c>
      <c r="BG182">
        <v>1</v>
      </c>
      <c r="BH182">
        <v>0</v>
      </c>
      <c r="BI182">
        <v>4</v>
      </c>
      <c r="BJ182">
        <v>0</v>
      </c>
      <c r="BK182">
        <v>0</v>
      </c>
      <c r="BL182">
        <v>1</v>
      </c>
      <c r="BM182">
        <v>2</v>
      </c>
      <c r="BN182">
        <v>31</v>
      </c>
      <c r="BO182">
        <v>94</v>
      </c>
      <c r="BP182">
        <v>65</v>
      </c>
      <c r="BQ182">
        <v>6</v>
      </c>
      <c r="BR182">
        <v>1</v>
      </c>
      <c r="BS182">
        <v>10</v>
      </c>
      <c r="BT182">
        <v>3</v>
      </c>
      <c r="BU182">
        <v>3</v>
      </c>
      <c r="BV182">
        <v>0</v>
      </c>
      <c r="BW182">
        <v>0</v>
      </c>
      <c r="BX182">
        <v>2</v>
      </c>
      <c r="BY182">
        <v>4</v>
      </c>
      <c r="BZ182">
        <v>94</v>
      </c>
      <c r="CA182">
        <v>7</v>
      </c>
      <c r="CB182">
        <v>0</v>
      </c>
      <c r="CC182">
        <v>5</v>
      </c>
      <c r="CD182">
        <v>0</v>
      </c>
      <c r="CE182">
        <v>1</v>
      </c>
      <c r="CF182">
        <v>0</v>
      </c>
      <c r="CG182">
        <v>0</v>
      </c>
      <c r="CH182">
        <v>0</v>
      </c>
      <c r="CI182">
        <v>1</v>
      </c>
      <c r="CJ182">
        <v>0</v>
      </c>
      <c r="CK182">
        <v>0</v>
      </c>
      <c r="CL182">
        <v>7</v>
      </c>
      <c r="CM182">
        <v>4</v>
      </c>
      <c r="CN182">
        <v>2</v>
      </c>
      <c r="CO182">
        <v>0</v>
      </c>
      <c r="CP182">
        <v>2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4</v>
      </c>
      <c r="CY182">
        <v>14</v>
      </c>
      <c r="CZ182">
        <v>8</v>
      </c>
      <c r="DA182">
        <v>2</v>
      </c>
      <c r="DB182">
        <v>0</v>
      </c>
      <c r="DC182">
        <v>1</v>
      </c>
      <c r="DD182">
        <v>1</v>
      </c>
      <c r="DE182">
        <v>0</v>
      </c>
      <c r="DF182">
        <v>0</v>
      </c>
      <c r="DG182">
        <v>0</v>
      </c>
      <c r="DH182">
        <v>1</v>
      </c>
      <c r="DI182">
        <v>1</v>
      </c>
      <c r="DJ182">
        <v>14</v>
      </c>
      <c r="DK182">
        <v>57</v>
      </c>
      <c r="DL182">
        <v>27</v>
      </c>
      <c r="DM182">
        <v>10</v>
      </c>
      <c r="DN182">
        <v>0</v>
      </c>
      <c r="DO182">
        <v>18</v>
      </c>
      <c r="DP182">
        <v>1</v>
      </c>
      <c r="DQ182">
        <v>0</v>
      </c>
      <c r="DR182">
        <v>1</v>
      </c>
      <c r="DS182">
        <v>0</v>
      </c>
      <c r="DT182">
        <v>0</v>
      </c>
      <c r="DU182">
        <v>0</v>
      </c>
      <c r="DV182">
        <v>57</v>
      </c>
      <c r="DW182">
        <v>25</v>
      </c>
      <c r="DX182">
        <v>16</v>
      </c>
      <c r="DY182">
        <v>2</v>
      </c>
      <c r="DZ182">
        <v>0</v>
      </c>
      <c r="EA182">
        <v>0</v>
      </c>
      <c r="EB182">
        <v>1</v>
      </c>
      <c r="EC182">
        <v>2</v>
      </c>
      <c r="ED182">
        <v>2</v>
      </c>
      <c r="EE182">
        <v>1</v>
      </c>
      <c r="EF182">
        <v>1</v>
      </c>
      <c r="EG182">
        <v>0</v>
      </c>
      <c r="EH182">
        <v>25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</row>
    <row r="183" spans="1:172" ht="14.25">
      <c r="A183">
        <v>178</v>
      </c>
      <c r="B183" t="str">
        <f t="shared" si="29"/>
        <v>101405</v>
      </c>
      <c r="C183" t="str">
        <f t="shared" si="30"/>
        <v>Burzenin</v>
      </c>
      <c r="D183" t="str">
        <f t="shared" si="28"/>
        <v>sieradzki</v>
      </c>
      <c r="E183" t="str">
        <f t="shared" si="22"/>
        <v>łódzkie</v>
      </c>
      <c r="F183">
        <v>2</v>
      </c>
      <c r="G183" t="str">
        <f>"Remiza OSP w Grabówce, Grabówka 30A, 98-260 Burzenin"</f>
        <v>Remiza OSP w Grabówce, Grabówka 30A, 98-260 Burzenin</v>
      </c>
      <c r="H183">
        <v>619</v>
      </c>
      <c r="I183">
        <v>619</v>
      </c>
      <c r="J183">
        <v>0</v>
      </c>
      <c r="K183">
        <v>430</v>
      </c>
      <c r="L183">
        <v>355</v>
      </c>
      <c r="M183">
        <v>75</v>
      </c>
      <c r="N183">
        <v>75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75</v>
      </c>
      <c r="Z183">
        <v>0</v>
      </c>
      <c r="AA183">
        <v>0</v>
      </c>
      <c r="AB183">
        <v>75</v>
      </c>
      <c r="AC183">
        <v>1</v>
      </c>
      <c r="AD183">
        <v>74</v>
      </c>
      <c r="AE183">
        <v>4</v>
      </c>
      <c r="AF183">
        <v>1</v>
      </c>
      <c r="AG183">
        <v>1</v>
      </c>
      <c r="AH183">
        <v>1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4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3</v>
      </c>
      <c r="BD183">
        <v>0</v>
      </c>
      <c r="BE183">
        <v>0</v>
      </c>
      <c r="BF183">
        <v>2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3</v>
      </c>
      <c r="BO183">
        <v>34</v>
      </c>
      <c r="BP183">
        <v>24</v>
      </c>
      <c r="BQ183">
        <v>2</v>
      </c>
      <c r="BR183">
        <v>2</v>
      </c>
      <c r="BS183">
        <v>4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1</v>
      </c>
      <c r="BZ183">
        <v>34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6</v>
      </c>
      <c r="CZ183">
        <v>4</v>
      </c>
      <c r="DA183">
        <v>2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6</v>
      </c>
      <c r="DK183">
        <v>6</v>
      </c>
      <c r="DL183">
        <v>0</v>
      </c>
      <c r="DM183">
        <v>1</v>
      </c>
      <c r="DN183">
        <v>0</v>
      </c>
      <c r="DO183">
        <v>4</v>
      </c>
      <c r="DP183">
        <v>0</v>
      </c>
      <c r="DQ183">
        <v>0</v>
      </c>
      <c r="DR183">
        <v>0</v>
      </c>
      <c r="DS183">
        <v>1</v>
      </c>
      <c r="DT183">
        <v>0</v>
      </c>
      <c r="DU183">
        <v>0</v>
      </c>
      <c r="DV183">
        <v>6</v>
      </c>
      <c r="DW183">
        <v>15</v>
      </c>
      <c r="DX183">
        <v>7</v>
      </c>
      <c r="DY183">
        <v>1</v>
      </c>
      <c r="DZ183">
        <v>0</v>
      </c>
      <c r="EA183">
        <v>0</v>
      </c>
      <c r="EB183">
        <v>2</v>
      </c>
      <c r="EC183">
        <v>1</v>
      </c>
      <c r="ED183">
        <v>2</v>
      </c>
      <c r="EE183">
        <v>1</v>
      </c>
      <c r="EF183">
        <v>1</v>
      </c>
      <c r="EG183">
        <v>0</v>
      </c>
      <c r="EH183">
        <v>15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6</v>
      </c>
      <c r="ET183">
        <v>4</v>
      </c>
      <c r="EU183">
        <v>1</v>
      </c>
      <c r="EV183">
        <v>0</v>
      </c>
      <c r="EW183">
        <v>0</v>
      </c>
      <c r="EX183">
        <v>0</v>
      </c>
      <c r="EY183">
        <v>1</v>
      </c>
      <c r="EZ183">
        <v>0</v>
      </c>
      <c r="FA183">
        <v>0</v>
      </c>
      <c r="FB183">
        <v>0</v>
      </c>
      <c r="FC183">
        <v>0</v>
      </c>
      <c r="FD183">
        <v>6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</row>
    <row r="184" spans="1:172" ht="14.25">
      <c r="A184">
        <v>179</v>
      </c>
      <c r="B184" t="str">
        <f t="shared" si="29"/>
        <v>101405</v>
      </c>
      <c r="C184" t="str">
        <f t="shared" si="30"/>
        <v>Burzenin</v>
      </c>
      <c r="D184" t="str">
        <f t="shared" si="28"/>
        <v>sieradzki</v>
      </c>
      <c r="E184" t="str">
        <f t="shared" si="22"/>
        <v>łódzkie</v>
      </c>
      <c r="F184">
        <v>3</v>
      </c>
      <c r="G184" t="str">
        <f>"Świetlica Wiejska w Niechmirowie, Niechmirów 47, 98-260 Burzenin"</f>
        <v>Świetlica Wiejska w Niechmirowie, Niechmirów 47, 98-260 Burzenin</v>
      </c>
      <c r="H184">
        <v>775</v>
      </c>
      <c r="I184">
        <v>775</v>
      </c>
      <c r="J184">
        <v>0</v>
      </c>
      <c r="K184">
        <v>550</v>
      </c>
      <c r="L184">
        <v>453</v>
      </c>
      <c r="M184">
        <v>97</v>
      </c>
      <c r="N184">
        <v>97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97</v>
      </c>
      <c r="Z184">
        <v>0</v>
      </c>
      <c r="AA184">
        <v>0</v>
      </c>
      <c r="AB184">
        <v>97</v>
      </c>
      <c r="AC184">
        <v>3</v>
      </c>
      <c r="AD184">
        <v>94</v>
      </c>
      <c r="AE184">
        <v>5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1</v>
      </c>
      <c r="AN184">
        <v>0</v>
      </c>
      <c r="AO184">
        <v>0</v>
      </c>
      <c r="AP184">
        <v>5</v>
      </c>
      <c r="AQ184">
        <v>2</v>
      </c>
      <c r="AR184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1</v>
      </c>
      <c r="BA184">
        <v>0</v>
      </c>
      <c r="BB184">
        <v>2</v>
      </c>
      <c r="BC184">
        <v>15</v>
      </c>
      <c r="BD184">
        <v>3</v>
      </c>
      <c r="BE184">
        <v>1</v>
      </c>
      <c r="BF184">
        <v>10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1</v>
      </c>
      <c r="BM184">
        <v>0</v>
      </c>
      <c r="BN184">
        <v>15</v>
      </c>
      <c r="BO184">
        <v>32</v>
      </c>
      <c r="BP184">
        <v>22</v>
      </c>
      <c r="BQ184">
        <v>2</v>
      </c>
      <c r="BR184">
        <v>0</v>
      </c>
      <c r="BS184">
        <v>6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2</v>
      </c>
      <c r="BZ184">
        <v>32</v>
      </c>
      <c r="CA184">
        <v>3</v>
      </c>
      <c r="CB184">
        <v>0</v>
      </c>
      <c r="CC184">
        <v>1</v>
      </c>
      <c r="CD184">
        <v>1</v>
      </c>
      <c r="CE184">
        <v>0</v>
      </c>
      <c r="CF184">
        <v>0</v>
      </c>
      <c r="CG184">
        <v>0</v>
      </c>
      <c r="CH184">
        <v>0</v>
      </c>
      <c r="CI184">
        <v>1</v>
      </c>
      <c r="CJ184">
        <v>0</v>
      </c>
      <c r="CK184">
        <v>0</v>
      </c>
      <c r="CL184">
        <v>3</v>
      </c>
      <c r="CM184">
        <v>1</v>
      </c>
      <c r="CN184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2</v>
      </c>
      <c r="CZ184">
        <v>1</v>
      </c>
      <c r="DA184">
        <v>0</v>
      </c>
      <c r="DB184">
        <v>0</v>
      </c>
      <c r="DC184">
        <v>0</v>
      </c>
      <c r="DD184">
        <v>1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2</v>
      </c>
      <c r="DK184">
        <v>9</v>
      </c>
      <c r="DL184">
        <v>3</v>
      </c>
      <c r="DM184">
        <v>0</v>
      </c>
      <c r="DN184">
        <v>0</v>
      </c>
      <c r="DO184">
        <v>5</v>
      </c>
      <c r="DP184">
        <v>1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9</v>
      </c>
      <c r="DW184">
        <v>16</v>
      </c>
      <c r="DX184">
        <v>7</v>
      </c>
      <c r="DY184">
        <v>1</v>
      </c>
      <c r="DZ184">
        <v>2</v>
      </c>
      <c r="EA184">
        <v>0</v>
      </c>
      <c r="EB184">
        <v>1</v>
      </c>
      <c r="EC184">
        <v>1</v>
      </c>
      <c r="ED184">
        <v>4</v>
      </c>
      <c r="EE184">
        <v>0</v>
      </c>
      <c r="EF184">
        <v>0</v>
      </c>
      <c r="EG184">
        <v>0</v>
      </c>
      <c r="EH184">
        <v>16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7</v>
      </c>
      <c r="ET184">
        <v>7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7</v>
      </c>
      <c r="FE184">
        <v>2</v>
      </c>
      <c r="FF184">
        <v>1</v>
      </c>
      <c r="FG184">
        <v>0</v>
      </c>
      <c r="FH184">
        <v>0</v>
      </c>
      <c r="FI184">
        <v>1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2</v>
      </c>
    </row>
    <row r="185" spans="1:172" ht="14.25">
      <c r="A185">
        <v>180</v>
      </c>
      <c r="B185" t="str">
        <f t="shared" si="29"/>
        <v>101405</v>
      </c>
      <c r="C185" t="str">
        <f t="shared" si="30"/>
        <v>Burzenin</v>
      </c>
      <c r="D185" t="str">
        <f t="shared" si="28"/>
        <v>sieradzki</v>
      </c>
      <c r="E185" t="str">
        <f t="shared" si="22"/>
        <v>łódzkie</v>
      </c>
      <c r="F185">
        <v>4</v>
      </c>
      <c r="G185" t="str">
        <f>"Remiza OSP w Szczawnie, Szczawno 8a, 98-260 Burzenin"</f>
        <v>Remiza OSP w Szczawnie, Szczawno 8a, 98-260 Burzenin</v>
      </c>
      <c r="H185">
        <v>382</v>
      </c>
      <c r="I185">
        <v>382</v>
      </c>
      <c r="J185">
        <v>0</v>
      </c>
      <c r="K185">
        <v>270</v>
      </c>
      <c r="L185">
        <v>215</v>
      </c>
      <c r="M185">
        <v>55</v>
      </c>
      <c r="N185">
        <v>55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55</v>
      </c>
      <c r="Z185">
        <v>0</v>
      </c>
      <c r="AA185">
        <v>0</v>
      </c>
      <c r="AB185">
        <v>55</v>
      </c>
      <c r="AC185">
        <v>9</v>
      </c>
      <c r="AD185">
        <v>46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1</v>
      </c>
      <c r="BB185">
        <v>1</v>
      </c>
      <c r="BC185">
        <v>2</v>
      </c>
      <c r="BD185">
        <v>0</v>
      </c>
      <c r="BE185">
        <v>0</v>
      </c>
      <c r="BF185">
        <v>2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2</v>
      </c>
      <c r="BO185">
        <v>20</v>
      </c>
      <c r="BP185">
        <v>14</v>
      </c>
      <c r="BQ185">
        <v>0</v>
      </c>
      <c r="BR185">
        <v>0</v>
      </c>
      <c r="BS185">
        <v>5</v>
      </c>
      <c r="BT185">
        <v>0</v>
      </c>
      <c r="BU185">
        <v>1</v>
      </c>
      <c r="BV185">
        <v>0</v>
      </c>
      <c r="BW185">
        <v>0</v>
      </c>
      <c r="BX185">
        <v>0</v>
      </c>
      <c r="BY185">
        <v>0</v>
      </c>
      <c r="BZ185">
        <v>20</v>
      </c>
      <c r="CA185">
        <v>3</v>
      </c>
      <c r="CB185">
        <v>0</v>
      </c>
      <c r="CC185">
        <v>0</v>
      </c>
      <c r="CD185">
        <v>0</v>
      </c>
      <c r="CE185">
        <v>1</v>
      </c>
      <c r="CF185">
        <v>1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3</v>
      </c>
      <c r="CM185">
        <v>2</v>
      </c>
      <c r="CN185">
        <v>1</v>
      </c>
      <c r="CO185">
        <v>1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2</v>
      </c>
      <c r="CY185">
        <v>7</v>
      </c>
      <c r="CZ185">
        <v>3</v>
      </c>
      <c r="DA185">
        <v>2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2</v>
      </c>
      <c r="DH185">
        <v>0</v>
      </c>
      <c r="DI185">
        <v>0</v>
      </c>
      <c r="DJ185">
        <v>7</v>
      </c>
      <c r="DK185">
        <v>2</v>
      </c>
      <c r="DL185">
        <v>1</v>
      </c>
      <c r="DM185">
        <v>0</v>
      </c>
      <c r="DN185">
        <v>0</v>
      </c>
      <c r="DO185">
        <v>1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2</v>
      </c>
      <c r="DW185">
        <v>8</v>
      </c>
      <c r="DX185">
        <v>3</v>
      </c>
      <c r="DY185">
        <v>3</v>
      </c>
      <c r="DZ185">
        <v>0</v>
      </c>
      <c r="EA185">
        <v>0</v>
      </c>
      <c r="EB185">
        <v>0</v>
      </c>
      <c r="EC185">
        <v>0</v>
      </c>
      <c r="ED185">
        <v>1</v>
      </c>
      <c r="EE185">
        <v>0</v>
      </c>
      <c r="EF185">
        <v>1</v>
      </c>
      <c r="EG185">
        <v>0</v>
      </c>
      <c r="EH185">
        <v>8</v>
      </c>
      <c r="EI185">
        <v>1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1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</row>
    <row r="186" spans="1:172" ht="14.25">
      <c r="A186">
        <v>181</v>
      </c>
      <c r="B186" t="str">
        <f t="shared" si="29"/>
        <v>101405</v>
      </c>
      <c r="C186" t="str">
        <f t="shared" si="30"/>
        <v>Burzenin</v>
      </c>
      <c r="D186" t="str">
        <f t="shared" si="28"/>
        <v>sieradzki</v>
      </c>
      <c r="E186" t="str">
        <f t="shared" si="22"/>
        <v>łódzkie</v>
      </c>
      <c r="F186">
        <v>5</v>
      </c>
      <c r="G186" t="str">
        <f>"Remiza OSP w Woli Będkowskiej, Wola Będkowska 40, 98-260 Burzenin"</f>
        <v>Remiza OSP w Woli Będkowskiej, Wola Będkowska 40, 98-260 Burzenin</v>
      </c>
      <c r="H186">
        <v>547</v>
      </c>
      <c r="I186">
        <v>547</v>
      </c>
      <c r="J186">
        <v>0</v>
      </c>
      <c r="K186">
        <v>390</v>
      </c>
      <c r="L186">
        <v>342</v>
      </c>
      <c r="M186">
        <v>48</v>
      </c>
      <c r="N186">
        <v>48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48</v>
      </c>
      <c r="Z186">
        <v>0</v>
      </c>
      <c r="AA186">
        <v>0</v>
      </c>
      <c r="AB186">
        <v>48</v>
      </c>
      <c r="AC186">
        <v>2</v>
      </c>
      <c r="AD186">
        <v>46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17</v>
      </c>
      <c r="BP186">
        <v>13</v>
      </c>
      <c r="BQ186">
        <v>0</v>
      </c>
      <c r="BR186">
        <v>0</v>
      </c>
      <c r="BS186">
        <v>4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17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1</v>
      </c>
      <c r="CY186">
        <v>1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1</v>
      </c>
      <c r="DK186">
        <v>1</v>
      </c>
      <c r="DL186">
        <v>1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1</v>
      </c>
      <c r="DW186">
        <v>24</v>
      </c>
      <c r="DX186">
        <v>7</v>
      </c>
      <c r="DY186">
        <v>5</v>
      </c>
      <c r="DZ186">
        <v>0</v>
      </c>
      <c r="EA186">
        <v>2</v>
      </c>
      <c r="EB186">
        <v>0</v>
      </c>
      <c r="EC186">
        <v>9</v>
      </c>
      <c r="ED186">
        <v>0</v>
      </c>
      <c r="EE186">
        <v>0</v>
      </c>
      <c r="EF186">
        <v>1</v>
      </c>
      <c r="EG186">
        <v>0</v>
      </c>
      <c r="EH186">
        <v>24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1</v>
      </c>
      <c r="FF186">
        <v>1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1</v>
      </c>
    </row>
    <row r="187" spans="1:172" ht="14.25">
      <c r="A187">
        <v>182</v>
      </c>
      <c r="B187" t="str">
        <f t="shared" si="29"/>
        <v>101405</v>
      </c>
      <c r="C187" t="str">
        <f t="shared" si="30"/>
        <v>Burzenin</v>
      </c>
      <c r="D187" t="str">
        <f t="shared" si="28"/>
        <v>sieradzki</v>
      </c>
      <c r="E187" t="str">
        <f t="shared" si="22"/>
        <v>łódzkie</v>
      </c>
      <c r="F187">
        <v>6</v>
      </c>
      <c r="G187" t="str">
        <f>"Świetlica Wiejska w Witowie, Wspólna 84, Witów, 98-260 Burzenin"</f>
        <v>Świetlica Wiejska w Witowie, Wspólna 84, Witów, 98-260 Burzenin</v>
      </c>
      <c r="H187">
        <v>795</v>
      </c>
      <c r="I187">
        <v>795</v>
      </c>
      <c r="J187">
        <v>0</v>
      </c>
      <c r="K187">
        <v>560</v>
      </c>
      <c r="L187">
        <v>449</v>
      </c>
      <c r="M187">
        <v>111</v>
      </c>
      <c r="N187">
        <v>111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111</v>
      </c>
      <c r="Z187">
        <v>0</v>
      </c>
      <c r="AA187">
        <v>0</v>
      </c>
      <c r="AB187">
        <v>111</v>
      </c>
      <c r="AC187">
        <v>2</v>
      </c>
      <c r="AD187">
        <v>109</v>
      </c>
      <c r="AE187">
        <v>3</v>
      </c>
      <c r="AF187">
        <v>2</v>
      </c>
      <c r="AG187">
        <v>0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3</v>
      </c>
      <c r="AQ187">
        <v>2</v>
      </c>
      <c r="AR187">
        <v>1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2</v>
      </c>
      <c r="BC187">
        <v>12</v>
      </c>
      <c r="BD187">
        <v>3</v>
      </c>
      <c r="BE187">
        <v>0</v>
      </c>
      <c r="BF187">
        <v>7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2</v>
      </c>
      <c r="BN187">
        <v>12</v>
      </c>
      <c r="BO187">
        <v>38</v>
      </c>
      <c r="BP187">
        <v>28</v>
      </c>
      <c r="BQ187">
        <v>1</v>
      </c>
      <c r="BR187">
        <v>0</v>
      </c>
      <c r="BS187">
        <v>2</v>
      </c>
      <c r="BT187">
        <v>0</v>
      </c>
      <c r="BU187">
        <v>0</v>
      </c>
      <c r="BV187">
        <v>2</v>
      </c>
      <c r="BW187">
        <v>1</v>
      </c>
      <c r="BX187">
        <v>1</v>
      </c>
      <c r="BY187">
        <v>3</v>
      </c>
      <c r="BZ187">
        <v>38</v>
      </c>
      <c r="CA187">
        <v>1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1</v>
      </c>
      <c r="CJ187">
        <v>0</v>
      </c>
      <c r="CK187">
        <v>0</v>
      </c>
      <c r="CL187">
        <v>1</v>
      </c>
      <c r="CM187">
        <v>4</v>
      </c>
      <c r="CN187">
        <v>2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1</v>
      </c>
      <c r="CX187">
        <v>4</v>
      </c>
      <c r="CY187">
        <v>6</v>
      </c>
      <c r="CZ187">
        <v>3</v>
      </c>
      <c r="DA187">
        <v>0</v>
      </c>
      <c r="DB187">
        <v>1</v>
      </c>
      <c r="DC187">
        <v>0</v>
      </c>
      <c r="DD187">
        <v>1</v>
      </c>
      <c r="DE187">
        <v>1</v>
      </c>
      <c r="DF187">
        <v>0</v>
      </c>
      <c r="DG187">
        <v>0</v>
      </c>
      <c r="DH187">
        <v>0</v>
      </c>
      <c r="DI187">
        <v>0</v>
      </c>
      <c r="DJ187">
        <v>6</v>
      </c>
      <c r="DK187">
        <v>22</v>
      </c>
      <c r="DL187">
        <v>10</v>
      </c>
      <c r="DM187">
        <v>0</v>
      </c>
      <c r="DN187">
        <v>0</v>
      </c>
      <c r="DO187">
        <v>10</v>
      </c>
      <c r="DP187">
        <v>0</v>
      </c>
      <c r="DQ187">
        <v>0</v>
      </c>
      <c r="DR187">
        <v>1</v>
      </c>
      <c r="DS187">
        <v>0</v>
      </c>
      <c r="DT187">
        <v>0</v>
      </c>
      <c r="DU187">
        <v>1</v>
      </c>
      <c r="DV187">
        <v>22</v>
      </c>
      <c r="DW187">
        <v>20</v>
      </c>
      <c r="DX187">
        <v>11</v>
      </c>
      <c r="DY187">
        <v>1</v>
      </c>
      <c r="DZ187">
        <v>0</v>
      </c>
      <c r="EA187">
        <v>0</v>
      </c>
      <c r="EB187">
        <v>1</v>
      </c>
      <c r="EC187">
        <v>1</v>
      </c>
      <c r="ED187">
        <v>4</v>
      </c>
      <c r="EE187">
        <v>2</v>
      </c>
      <c r="EF187">
        <v>0</v>
      </c>
      <c r="EG187">
        <v>0</v>
      </c>
      <c r="EH187">
        <v>20</v>
      </c>
      <c r="EI187">
        <v>1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1</v>
      </c>
      <c r="EQ187">
        <v>0</v>
      </c>
      <c r="ER187">
        <v>1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</row>
    <row r="188" spans="1:172" ht="14.25">
      <c r="A188">
        <v>183</v>
      </c>
      <c r="B188" t="str">
        <f aca="true" t="shared" si="31" ref="B188:B193">"101406"</f>
        <v>101406</v>
      </c>
      <c r="C188" t="str">
        <f aca="true" t="shared" si="32" ref="C188:C193">"Goszczanów"</f>
        <v>Goszczanów</v>
      </c>
      <c r="D188" t="str">
        <f t="shared" si="28"/>
        <v>sieradzki</v>
      </c>
      <c r="E188" t="str">
        <f t="shared" si="22"/>
        <v>łódzkie</v>
      </c>
      <c r="F188">
        <v>1</v>
      </c>
      <c r="G188" t="str">
        <f>"Publiczne Gimnazjum w Goszczanowie, Kaliska 13, 98-215 Goszczanów"</f>
        <v>Publiczne Gimnazjum w Goszczanowie, Kaliska 13, 98-215 Goszczanów</v>
      </c>
      <c r="H188">
        <v>1150</v>
      </c>
      <c r="I188">
        <v>1150</v>
      </c>
      <c r="J188">
        <v>0</v>
      </c>
      <c r="K188">
        <v>810</v>
      </c>
      <c r="L188">
        <v>558</v>
      </c>
      <c r="M188">
        <v>252</v>
      </c>
      <c r="N188">
        <v>252</v>
      </c>
      <c r="O188">
        <v>0</v>
      </c>
      <c r="P188">
        <v>0</v>
      </c>
      <c r="Q188">
        <v>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252</v>
      </c>
      <c r="Z188">
        <v>0</v>
      </c>
      <c r="AA188">
        <v>0</v>
      </c>
      <c r="AB188">
        <v>252</v>
      </c>
      <c r="AC188">
        <v>8</v>
      </c>
      <c r="AD188">
        <v>244</v>
      </c>
      <c r="AE188">
        <v>5</v>
      </c>
      <c r="AF188">
        <v>3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5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42</v>
      </c>
      <c r="BD188">
        <v>6</v>
      </c>
      <c r="BE188">
        <v>2</v>
      </c>
      <c r="BF188">
        <v>32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2</v>
      </c>
      <c r="BN188">
        <v>42</v>
      </c>
      <c r="BO188">
        <v>106</v>
      </c>
      <c r="BP188">
        <v>65</v>
      </c>
      <c r="BQ188">
        <v>2</v>
      </c>
      <c r="BR188">
        <v>1</v>
      </c>
      <c r="BS188">
        <v>36</v>
      </c>
      <c r="BT188">
        <v>1</v>
      </c>
      <c r="BU188">
        <v>0</v>
      </c>
      <c r="BV188">
        <v>1</v>
      </c>
      <c r="BW188">
        <v>0</v>
      </c>
      <c r="BX188">
        <v>0</v>
      </c>
      <c r="BY188">
        <v>0</v>
      </c>
      <c r="BZ188">
        <v>106</v>
      </c>
      <c r="CA188">
        <v>4</v>
      </c>
      <c r="CB188">
        <v>1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1</v>
      </c>
      <c r="CI188">
        <v>0</v>
      </c>
      <c r="CJ188">
        <v>1</v>
      </c>
      <c r="CK188">
        <v>0</v>
      </c>
      <c r="CL188">
        <v>4</v>
      </c>
      <c r="CM188">
        <v>3</v>
      </c>
      <c r="CN188">
        <v>0</v>
      </c>
      <c r="CO188">
        <v>0</v>
      </c>
      <c r="CP188">
        <v>0</v>
      </c>
      <c r="CQ188">
        <v>0</v>
      </c>
      <c r="CR188">
        <v>3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3</v>
      </c>
      <c r="CY188">
        <v>13</v>
      </c>
      <c r="CZ188">
        <v>7</v>
      </c>
      <c r="DA188">
        <v>3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</v>
      </c>
      <c r="DH188">
        <v>2</v>
      </c>
      <c r="DI188">
        <v>0</v>
      </c>
      <c r="DJ188">
        <v>13</v>
      </c>
      <c r="DK188">
        <v>32</v>
      </c>
      <c r="DL188">
        <v>15</v>
      </c>
      <c r="DM188">
        <v>4</v>
      </c>
      <c r="DN188">
        <v>1</v>
      </c>
      <c r="DO188">
        <v>9</v>
      </c>
      <c r="DP188">
        <v>0</v>
      </c>
      <c r="DQ188">
        <v>0</v>
      </c>
      <c r="DR188">
        <v>2</v>
      </c>
      <c r="DS188">
        <v>1</v>
      </c>
      <c r="DT188">
        <v>0</v>
      </c>
      <c r="DU188">
        <v>0</v>
      </c>
      <c r="DV188">
        <v>32</v>
      </c>
      <c r="DW188">
        <v>37</v>
      </c>
      <c r="DX188">
        <v>12</v>
      </c>
      <c r="DY188">
        <v>7</v>
      </c>
      <c r="DZ188">
        <v>0</v>
      </c>
      <c r="EA188">
        <v>8</v>
      </c>
      <c r="EB188">
        <v>1</v>
      </c>
      <c r="EC188">
        <v>5</v>
      </c>
      <c r="ED188">
        <v>1</v>
      </c>
      <c r="EE188">
        <v>1</v>
      </c>
      <c r="EF188">
        <v>1</v>
      </c>
      <c r="EG188">
        <v>1</v>
      </c>
      <c r="EH188">
        <v>37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1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1</v>
      </c>
      <c r="FM188">
        <v>0</v>
      </c>
      <c r="FN188">
        <v>0</v>
      </c>
      <c r="FO188">
        <v>0</v>
      </c>
      <c r="FP188">
        <v>1</v>
      </c>
    </row>
    <row r="189" spans="1:172" ht="14.25">
      <c r="A189">
        <v>184</v>
      </c>
      <c r="B189" t="str">
        <f t="shared" si="31"/>
        <v>101406</v>
      </c>
      <c r="C189" t="str">
        <f t="shared" si="32"/>
        <v>Goszczanów</v>
      </c>
      <c r="D189" t="str">
        <f t="shared" si="28"/>
        <v>sieradzki</v>
      </c>
      <c r="E189" t="str">
        <f t="shared" si="22"/>
        <v>łódzkie</v>
      </c>
      <c r="F189">
        <v>2</v>
      </c>
      <c r="G189" t="str">
        <f>"Remiza OSP w Woli Tłomakowej, Wola Tłomakowa 74, 98-215 Goszczanów"</f>
        <v>Remiza OSP w Woli Tłomakowej, Wola Tłomakowa 74, 98-215 Goszczanów</v>
      </c>
      <c r="H189">
        <v>633</v>
      </c>
      <c r="I189">
        <v>633</v>
      </c>
      <c r="J189">
        <v>0</v>
      </c>
      <c r="K189">
        <v>440</v>
      </c>
      <c r="L189">
        <v>368</v>
      </c>
      <c r="M189">
        <v>72</v>
      </c>
      <c r="N189">
        <v>72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72</v>
      </c>
      <c r="Z189">
        <v>0</v>
      </c>
      <c r="AA189">
        <v>0</v>
      </c>
      <c r="AB189">
        <v>72</v>
      </c>
      <c r="AC189">
        <v>7</v>
      </c>
      <c r="AD189">
        <v>65</v>
      </c>
      <c r="AE189">
        <v>1</v>
      </c>
      <c r="AF189">
        <v>1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8</v>
      </c>
      <c r="BD189">
        <v>1</v>
      </c>
      <c r="BE189">
        <v>0</v>
      </c>
      <c r="BF189">
        <v>5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</v>
      </c>
      <c r="BM189">
        <v>1</v>
      </c>
      <c r="BN189">
        <v>8</v>
      </c>
      <c r="BO189">
        <v>29</v>
      </c>
      <c r="BP189">
        <v>16</v>
      </c>
      <c r="BQ189">
        <v>1</v>
      </c>
      <c r="BR189">
        <v>0</v>
      </c>
      <c r="BS189">
        <v>12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29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9</v>
      </c>
      <c r="CZ189">
        <v>3</v>
      </c>
      <c r="DA189">
        <v>3</v>
      </c>
      <c r="DB189">
        <v>0</v>
      </c>
      <c r="DC189">
        <v>0</v>
      </c>
      <c r="DD189">
        <v>0</v>
      </c>
      <c r="DE189">
        <v>0</v>
      </c>
      <c r="DF189">
        <v>2</v>
      </c>
      <c r="DG189">
        <v>1</v>
      </c>
      <c r="DH189">
        <v>0</v>
      </c>
      <c r="DI189">
        <v>0</v>
      </c>
      <c r="DJ189">
        <v>9</v>
      </c>
      <c r="DK189">
        <v>6</v>
      </c>
      <c r="DL189">
        <v>3</v>
      </c>
      <c r="DM189">
        <v>2</v>
      </c>
      <c r="DN189">
        <v>0</v>
      </c>
      <c r="DO189">
        <v>1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6</v>
      </c>
      <c r="DW189">
        <v>7</v>
      </c>
      <c r="DX189">
        <v>2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3</v>
      </c>
      <c r="EE189">
        <v>0</v>
      </c>
      <c r="EF189">
        <v>2</v>
      </c>
      <c r="EG189">
        <v>0</v>
      </c>
      <c r="EH189">
        <v>7</v>
      </c>
      <c r="EI189">
        <v>1</v>
      </c>
      <c r="EJ189">
        <v>0</v>
      </c>
      <c r="EK189">
        <v>1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1</v>
      </c>
      <c r="ES189">
        <v>4</v>
      </c>
      <c r="ET189">
        <v>4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4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</row>
    <row r="190" spans="1:172" ht="14.25">
      <c r="A190">
        <v>185</v>
      </c>
      <c r="B190" t="str">
        <f t="shared" si="31"/>
        <v>101406</v>
      </c>
      <c r="C190" t="str">
        <f t="shared" si="32"/>
        <v>Goszczanów</v>
      </c>
      <c r="D190" t="str">
        <f t="shared" si="28"/>
        <v>sieradzki</v>
      </c>
      <c r="E190" t="str">
        <f t="shared" si="22"/>
        <v>łódzkie</v>
      </c>
      <c r="F190">
        <v>3</v>
      </c>
      <c r="G190" t="str">
        <f>"Szkoła Podstawowa w Chlewie, Chlewo 51A, 98-215 Goszczanów"</f>
        <v>Szkoła Podstawowa w Chlewie, Chlewo 51A, 98-215 Goszczanów</v>
      </c>
      <c r="H190">
        <v>911</v>
      </c>
      <c r="I190">
        <v>911</v>
      </c>
      <c r="J190">
        <v>0</v>
      </c>
      <c r="K190">
        <v>638</v>
      </c>
      <c r="L190">
        <v>518</v>
      </c>
      <c r="M190">
        <v>120</v>
      </c>
      <c r="N190">
        <v>120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120</v>
      </c>
      <c r="Z190">
        <v>0</v>
      </c>
      <c r="AA190">
        <v>0</v>
      </c>
      <c r="AB190">
        <v>120</v>
      </c>
      <c r="AC190">
        <v>11</v>
      </c>
      <c r="AD190">
        <v>109</v>
      </c>
      <c r="AE190">
        <v>5</v>
      </c>
      <c r="AF190">
        <v>1</v>
      </c>
      <c r="AG190">
        <v>0</v>
      </c>
      <c r="AH190">
        <v>1</v>
      </c>
      <c r="AI190">
        <v>1</v>
      </c>
      <c r="AJ190">
        <v>0</v>
      </c>
      <c r="AK190">
        <v>0</v>
      </c>
      <c r="AL190">
        <v>1</v>
      </c>
      <c r="AM190">
        <v>1</v>
      </c>
      <c r="AN190">
        <v>0</v>
      </c>
      <c r="AO190">
        <v>0</v>
      </c>
      <c r="AP190">
        <v>5</v>
      </c>
      <c r="AQ190">
        <v>1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1</v>
      </c>
      <c r="BC190">
        <v>14</v>
      </c>
      <c r="BD190">
        <v>6</v>
      </c>
      <c r="BE190">
        <v>0</v>
      </c>
      <c r="BF190">
        <v>8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14</v>
      </c>
      <c r="BO190">
        <v>48</v>
      </c>
      <c r="BP190">
        <v>18</v>
      </c>
      <c r="BQ190">
        <v>0</v>
      </c>
      <c r="BR190">
        <v>0</v>
      </c>
      <c r="BS190">
        <v>30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48</v>
      </c>
      <c r="CA190">
        <v>4</v>
      </c>
      <c r="CB190">
        <v>0</v>
      </c>
      <c r="CC190">
        <v>0</v>
      </c>
      <c r="CD190">
        <v>2</v>
      </c>
      <c r="CE190">
        <v>0</v>
      </c>
      <c r="CF190">
        <v>0</v>
      </c>
      <c r="CG190">
        <v>0</v>
      </c>
      <c r="CH190">
        <v>0</v>
      </c>
      <c r="CI190">
        <v>1</v>
      </c>
      <c r="CJ190">
        <v>0</v>
      </c>
      <c r="CK190">
        <v>1</v>
      </c>
      <c r="CL190">
        <v>4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11</v>
      </c>
      <c r="CZ190">
        <v>7</v>
      </c>
      <c r="DA190">
        <v>3</v>
      </c>
      <c r="DB190">
        <v>0</v>
      </c>
      <c r="DC190">
        <v>0</v>
      </c>
      <c r="DD190">
        <v>1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11</v>
      </c>
      <c r="DK190">
        <v>3</v>
      </c>
      <c r="DL190">
        <v>1</v>
      </c>
      <c r="DM190">
        <v>0</v>
      </c>
      <c r="DN190">
        <v>0</v>
      </c>
      <c r="DO190">
        <v>1</v>
      </c>
      <c r="DP190">
        <v>1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3</v>
      </c>
      <c r="DW190">
        <v>20</v>
      </c>
      <c r="DX190">
        <v>12</v>
      </c>
      <c r="DY190">
        <v>1</v>
      </c>
      <c r="DZ190">
        <v>0</v>
      </c>
      <c r="EA190">
        <v>1</v>
      </c>
      <c r="EB190">
        <v>2</v>
      </c>
      <c r="EC190">
        <v>0</v>
      </c>
      <c r="ED190">
        <v>3</v>
      </c>
      <c r="EE190">
        <v>1</v>
      </c>
      <c r="EF190">
        <v>0</v>
      </c>
      <c r="EG190">
        <v>0</v>
      </c>
      <c r="EH190">
        <v>20</v>
      </c>
      <c r="EI190">
        <v>1</v>
      </c>
      <c r="EJ190">
        <v>0</v>
      </c>
      <c r="EK190">
        <v>1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1</v>
      </c>
      <c r="ES190">
        <v>1</v>
      </c>
      <c r="ET190">
        <v>0</v>
      </c>
      <c r="EU190">
        <v>1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1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</row>
    <row r="191" spans="1:172" ht="14.25">
      <c r="A191">
        <v>186</v>
      </c>
      <c r="B191" t="str">
        <f t="shared" si="31"/>
        <v>101406</v>
      </c>
      <c r="C191" t="str">
        <f t="shared" si="32"/>
        <v>Goszczanów</v>
      </c>
      <c r="D191" t="str">
        <f t="shared" si="28"/>
        <v>sieradzki</v>
      </c>
      <c r="E191" t="str">
        <f t="shared" si="22"/>
        <v>łódzkie</v>
      </c>
      <c r="F191">
        <v>4</v>
      </c>
      <c r="G191" t="str">
        <f>"Szkoła Podstawowa w Lipiczu, Lipicze 44, 98-215 Goszczanów"</f>
        <v>Szkoła Podstawowa w Lipiczu, Lipicze 44, 98-215 Goszczanów</v>
      </c>
      <c r="H191">
        <v>524</v>
      </c>
      <c r="I191">
        <v>524</v>
      </c>
      <c r="J191">
        <v>0</v>
      </c>
      <c r="K191">
        <v>370</v>
      </c>
      <c r="L191">
        <v>317</v>
      </c>
      <c r="M191">
        <v>53</v>
      </c>
      <c r="N191">
        <v>53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53</v>
      </c>
      <c r="Z191">
        <v>0</v>
      </c>
      <c r="AA191">
        <v>0</v>
      </c>
      <c r="AB191">
        <v>53</v>
      </c>
      <c r="AC191">
        <v>2</v>
      </c>
      <c r="AD191">
        <v>51</v>
      </c>
      <c r="AE191">
        <v>3</v>
      </c>
      <c r="AF191">
        <v>1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2</v>
      </c>
      <c r="AO191">
        <v>0</v>
      </c>
      <c r="AP191">
        <v>3</v>
      </c>
      <c r="AQ191">
        <v>1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1</v>
      </c>
      <c r="BA191">
        <v>0</v>
      </c>
      <c r="BB191">
        <v>1</v>
      </c>
      <c r="BC191">
        <v>4</v>
      </c>
      <c r="BD191">
        <v>0</v>
      </c>
      <c r="BE191">
        <v>0</v>
      </c>
      <c r="BF191">
        <v>3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0</v>
      </c>
      <c r="BN191">
        <v>4</v>
      </c>
      <c r="BO191">
        <v>24</v>
      </c>
      <c r="BP191">
        <v>13</v>
      </c>
      <c r="BQ191">
        <v>1</v>
      </c>
      <c r="BR191">
        <v>0</v>
      </c>
      <c r="BS191">
        <v>9</v>
      </c>
      <c r="BT191">
        <v>0</v>
      </c>
      <c r="BU191">
        <v>0</v>
      </c>
      <c r="BV191">
        <v>0</v>
      </c>
      <c r="BW191">
        <v>0</v>
      </c>
      <c r="BX191">
        <v>1</v>
      </c>
      <c r="BY191">
        <v>0</v>
      </c>
      <c r="BZ191">
        <v>24</v>
      </c>
      <c r="CA191">
        <v>2</v>
      </c>
      <c r="CB191">
        <v>1</v>
      </c>
      <c r="CC191">
        <v>0</v>
      </c>
      <c r="CD191">
        <v>0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>
        <v>1</v>
      </c>
      <c r="CN191">
        <v>0</v>
      </c>
      <c r="CO191">
        <v>1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1</v>
      </c>
      <c r="CY191">
        <v>5</v>
      </c>
      <c r="CZ191">
        <v>5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5</v>
      </c>
      <c r="DK191">
        <v>1</v>
      </c>
      <c r="DL191">
        <v>1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1</v>
      </c>
      <c r="DW191">
        <v>8</v>
      </c>
      <c r="DX191">
        <v>3</v>
      </c>
      <c r="DY191">
        <v>0</v>
      </c>
      <c r="DZ191">
        <v>0</v>
      </c>
      <c r="EA191">
        <v>1</v>
      </c>
      <c r="EB191">
        <v>1</v>
      </c>
      <c r="EC191">
        <v>0</v>
      </c>
      <c r="ED191">
        <v>2</v>
      </c>
      <c r="EE191">
        <v>0</v>
      </c>
      <c r="EF191">
        <v>0</v>
      </c>
      <c r="EG191">
        <v>1</v>
      </c>
      <c r="EH191">
        <v>8</v>
      </c>
      <c r="EI191">
        <v>1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1</v>
      </c>
      <c r="EQ191">
        <v>0</v>
      </c>
      <c r="ER191">
        <v>1</v>
      </c>
      <c r="ES191">
        <v>1</v>
      </c>
      <c r="ET191">
        <v>0</v>
      </c>
      <c r="EU191">
        <v>0</v>
      </c>
      <c r="EV191">
        <v>1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1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</row>
    <row r="192" spans="1:172" ht="14.25">
      <c r="A192">
        <v>187</v>
      </c>
      <c r="B192" t="str">
        <f t="shared" si="31"/>
        <v>101406</v>
      </c>
      <c r="C192" t="str">
        <f t="shared" si="32"/>
        <v>Goszczanów</v>
      </c>
      <c r="D192" t="str">
        <f t="shared" si="28"/>
        <v>sieradzki</v>
      </c>
      <c r="E192" t="str">
        <f t="shared" si="22"/>
        <v>łódzkie</v>
      </c>
      <c r="F192">
        <v>5</v>
      </c>
      <c r="G192" t="str">
        <f>"Remiza OSP w Poniatowie, Poniatów 8, 98-215 Goszczanów"</f>
        <v>Remiza OSP w Poniatowie, Poniatów 8, 98-215 Goszczanów</v>
      </c>
      <c r="H192">
        <v>655</v>
      </c>
      <c r="I192">
        <v>655</v>
      </c>
      <c r="J192">
        <v>0</v>
      </c>
      <c r="K192">
        <v>460</v>
      </c>
      <c r="L192">
        <v>371</v>
      </c>
      <c r="M192">
        <v>89</v>
      </c>
      <c r="N192">
        <v>89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89</v>
      </c>
      <c r="Z192">
        <v>0</v>
      </c>
      <c r="AA192">
        <v>0</v>
      </c>
      <c r="AB192">
        <v>89</v>
      </c>
      <c r="AC192">
        <v>1</v>
      </c>
      <c r="AD192">
        <v>88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1</v>
      </c>
      <c r="BA192">
        <v>0</v>
      </c>
      <c r="BB192">
        <v>1</v>
      </c>
      <c r="BC192">
        <v>20</v>
      </c>
      <c r="BD192">
        <v>1</v>
      </c>
      <c r="BE192">
        <v>0</v>
      </c>
      <c r="BF192">
        <v>14</v>
      </c>
      <c r="BG192">
        <v>0</v>
      </c>
      <c r="BH192">
        <v>1</v>
      </c>
      <c r="BI192">
        <v>3</v>
      </c>
      <c r="BJ192">
        <v>0</v>
      </c>
      <c r="BK192">
        <v>0</v>
      </c>
      <c r="BL192">
        <v>0</v>
      </c>
      <c r="BM192">
        <v>1</v>
      </c>
      <c r="BN192">
        <v>20</v>
      </c>
      <c r="BO192">
        <v>38</v>
      </c>
      <c r="BP192">
        <v>15</v>
      </c>
      <c r="BQ192">
        <v>0</v>
      </c>
      <c r="BR192">
        <v>0</v>
      </c>
      <c r="BS192">
        <v>21</v>
      </c>
      <c r="BT192">
        <v>0</v>
      </c>
      <c r="BU192">
        <v>1</v>
      </c>
      <c r="BV192">
        <v>0</v>
      </c>
      <c r="BW192">
        <v>0</v>
      </c>
      <c r="BX192">
        <v>0</v>
      </c>
      <c r="BY192">
        <v>1</v>
      </c>
      <c r="BZ192">
        <v>38</v>
      </c>
      <c r="CA192">
        <v>1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1</v>
      </c>
      <c r="CJ192">
        <v>0</v>
      </c>
      <c r="CK192">
        <v>0</v>
      </c>
      <c r="CL192">
        <v>1</v>
      </c>
      <c r="CM192">
        <v>1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1</v>
      </c>
      <c r="CY192">
        <v>6</v>
      </c>
      <c r="CZ192">
        <v>3</v>
      </c>
      <c r="DA192">
        <v>1</v>
      </c>
      <c r="DB192">
        <v>2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6</v>
      </c>
      <c r="DK192">
        <v>9</v>
      </c>
      <c r="DL192">
        <v>6</v>
      </c>
      <c r="DM192">
        <v>0</v>
      </c>
      <c r="DN192">
        <v>1</v>
      </c>
      <c r="DO192">
        <v>1</v>
      </c>
      <c r="DP192">
        <v>0</v>
      </c>
      <c r="DQ192">
        <v>0</v>
      </c>
      <c r="DR192">
        <v>1</v>
      </c>
      <c r="DS192">
        <v>0</v>
      </c>
      <c r="DT192">
        <v>0</v>
      </c>
      <c r="DU192">
        <v>0</v>
      </c>
      <c r="DV192">
        <v>9</v>
      </c>
      <c r="DW192">
        <v>11</v>
      </c>
      <c r="DX192">
        <v>7</v>
      </c>
      <c r="DY192">
        <v>0</v>
      </c>
      <c r="DZ192">
        <v>0</v>
      </c>
      <c r="EA192">
        <v>0</v>
      </c>
      <c r="EB192">
        <v>0</v>
      </c>
      <c r="EC192">
        <v>1</v>
      </c>
      <c r="ED192">
        <v>1</v>
      </c>
      <c r="EE192">
        <v>1</v>
      </c>
      <c r="EF192">
        <v>0</v>
      </c>
      <c r="EG192">
        <v>1</v>
      </c>
      <c r="EH192">
        <v>11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1</v>
      </c>
      <c r="ET192">
        <v>1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1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</row>
    <row r="193" spans="1:172" ht="14.25">
      <c r="A193">
        <v>188</v>
      </c>
      <c r="B193" t="str">
        <f t="shared" si="31"/>
        <v>101406</v>
      </c>
      <c r="C193" t="str">
        <f t="shared" si="32"/>
        <v>Goszczanów</v>
      </c>
      <c r="D193" t="str">
        <f t="shared" si="28"/>
        <v>sieradzki</v>
      </c>
      <c r="E193" t="str">
        <f t="shared" si="22"/>
        <v>łódzkie</v>
      </c>
      <c r="F193">
        <v>6</v>
      </c>
      <c r="G193" t="str">
        <f>"Szkoła Podstawowa w Kaszewie, Kaszew 28, 98-215 Goszczanów"</f>
        <v>Szkoła Podstawowa w Kaszewie, Kaszew 28, 98-215 Goszczanów</v>
      </c>
      <c r="H193">
        <v>617</v>
      </c>
      <c r="I193">
        <v>617</v>
      </c>
      <c r="J193">
        <v>0</v>
      </c>
      <c r="K193">
        <v>440</v>
      </c>
      <c r="L193">
        <v>369</v>
      </c>
      <c r="M193">
        <v>71</v>
      </c>
      <c r="N193">
        <v>71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71</v>
      </c>
      <c r="Z193">
        <v>0</v>
      </c>
      <c r="AA193">
        <v>0</v>
      </c>
      <c r="AB193">
        <v>71</v>
      </c>
      <c r="AC193">
        <v>6</v>
      </c>
      <c r="AD193">
        <v>65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1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1</v>
      </c>
      <c r="BC193">
        <v>9</v>
      </c>
      <c r="BD193">
        <v>3</v>
      </c>
      <c r="BE193">
        <v>2</v>
      </c>
      <c r="BF193">
        <v>2</v>
      </c>
      <c r="BG193">
        <v>0</v>
      </c>
      <c r="BH193">
        <v>1</v>
      </c>
      <c r="BI193">
        <v>1</v>
      </c>
      <c r="BJ193">
        <v>0</v>
      </c>
      <c r="BK193">
        <v>0</v>
      </c>
      <c r="BL193">
        <v>0</v>
      </c>
      <c r="BM193">
        <v>0</v>
      </c>
      <c r="BN193">
        <v>9</v>
      </c>
      <c r="BO193">
        <v>40</v>
      </c>
      <c r="BP193">
        <v>20</v>
      </c>
      <c r="BQ193">
        <v>2</v>
      </c>
      <c r="BR193">
        <v>0</v>
      </c>
      <c r="BS193">
        <v>15</v>
      </c>
      <c r="BT193">
        <v>0</v>
      </c>
      <c r="BU193">
        <v>0</v>
      </c>
      <c r="BV193">
        <v>0</v>
      </c>
      <c r="BW193">
        <v>1</v>
      </c>
      <c r="BX193">
        <v>1</v>
      </c>
      <c r="BY193">
        <v>1</v>
      </c>
      <c r="BZ193">
        <v>40</v>
      </c>
      <c r="CA193">
        <v>2</v>
      </c>
      <c r="CB193">
        <v>0</v>
      </c>
      <c r="CC193">
        <v>0</v>
      </c>
      <c r="CD193">
        <v>2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2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6</v>
      </c>
      <c r="DL193">
        <v>1</v>
      </c>
      <c r="DM193">
        <v>4</v>
      </c>
      <c r="DN193">
        <v>0</v>
      </c>
      <c r="DO193">
        <v>1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6</v>
      </c>
      <c r="DW193">
        <v>5</v>
      </c>
      <c r="DX193">
        <v>2</v>
      </c>
      <c r="DY193">
        <v>0</v>
      </c>
      <c r="DZ193">
        <v>0</v>
      </c>
      <c r="EA193">
        <v>0</v>
      </c>
      <c r="EB193">
        <v>0</v>
      </c>
      <c r="EC193">
        <v>2</v>
      </c>
      <c r="ED193">
        <v>0</v>
      </c>
      <c r="EE193">
        <v>0</v>
      </c>
      <c r="EF193">
        <v>0</v>
      </c>
      <c r="EG193">
        <v>1</v>
      </c>
      <c r="EH193">
        <v>5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1</v>
      </c>
      <c r="ET193">
        <v>1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1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</row>
    <row r="194" spans="1:172" ht="14.25">
      <c r="A194">
        <v>189</v>
      </c>
      <c r="B194" t="str">
        <f>"101407"</f>
        <v>101407</v>
      </c>
      <c r="C194" t="str">
        <f>"Klonowa"</f>
        <v>Klonowa</v>
      </c>
      <c r="D194" t="str">
        <f t="shared" si="28"/>
        <v>sieradzki</v>
      </c>
      <c r="E194" t="str">
        <f t="shared" si="22"/>
        <v>łódzkie</v>
      </c>
      <c r="F194">
        <v>1</v>
      </c>
      <c r="G194" t="str">
        <f>"Zespół Szkół w Klonowej, ul. Złoczewska 4, 98-273 Klonowa"</f>
        <v>Zespół Szkół w Klonowej, ul. Złoczewska 4, 98-273 Klonowa</v>
      </c>
      <c r="H194">
        <v>823</v>
      </c>
      <c r="I194">
        <v>823</v>
      </c>
      <c r="J194">
        <v>0</v>
      </c>
      <c r="K194">
        <v>581</v>
      </c>
      <c r="L194">
        <v>402</v>
      </c>
      <c r="M194">
        <v>179</v>
      </c>
      <c r="N194">
        <v>179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179</v>
      </c>
      <c r="Z194">
        <v>0</v>
      </c>
      <c r="AA194">
        <v>0</v>
      </c>
      <c r="AB194">
        <v>179</v>
      </c>
      <c r="AC194">
        <v>18</v>
      </c>
      <c r="AD194">
        <v>161</v>
      </c>
      <c r="AE194">
        <v>3</v>
      </c>
      <c r="AF194">
        <v>2</v>
      </c>
      <c r="AG194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3</v>
      </c>
      <c r="AQ194">
        <v>7</v>
      </c>
      <c r="AR194">
        <v>4</v>
      </c>
      <c r="AS194">
        <v>0</v>
      </c>
      <c r="AT194">
        <v>1</v>
      </c>
      <c r="AU194">
        <v>1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>
        <v>7</v>
      </c>
      <c r="BC194">
        <v>13</v>
      </c>
      <c r="BD194">
        <v>9</v>
      </c>
      <c r="BE194">
        <v>1</v>
      </c>
      <c r="BF194">
        <v>1</v>
      </c>
      <c r="BG194">
        <v>0</v>
      </c>
      <c r="BH194">
        <v>0</v>
      </c>
      <c r="BI194">
        <v>1</v>
      </c>
      <c r="BJ194">
        <v>0</v>
      </c>
      <c r="BK194">
        <v>0</v>
      </c>
      <c r="BL194">
        <v>0</v>
      </c>
      <c r="BM194">
        <v>1</v>
      </c>
      <c r="BN194">
        <v>13</v>
      </c>
      <c r="BO194">
        <v>53</v>
      </c>
      <c r="BP194">
        <v>42</v>
      </c>
      <c r="BQ194">
        <v>3</v>
      </c>
      <c r="BR194">
        <v>0</v>
      </c>
      <c r="BS194">
        <v>4</v>
      </c>
      <c r="BT194">
        <v>1</v>
      </c>
      <c r="BU194">
        <v>0</v>
      </c>
      <c r="BV194">
        <v>0</v>
      </c>
      <c r="BW194">
        <v>2</v>
      </c>
      <c r="BX194">
        <v>0</v>
      </c>
      <c r="BY194">
        <v>1</v>
      </c>
      <c r="BZ194">
        <v>53</v>
      </c>
      <c r="CA194">
        <v>2</v>
      </c>
      <c r="CB194">
        <v>0</v>
      </c>
      <c r="CC194">
        <v>0</v>
      </c>
      <c r="CD194">
        <v>1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1</v>
      </c>
      <c r="CK194">
        <v>0</v>
      </c>
      <c r="CL194">
        <v>2</v>
      </c>
      <c r="CM194">
        <v>2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2</v>
      </c>
      <c r="CY194">
        <v>8</v>
      </c>
      <c r="CZ194">
        <v>4</v>
      </c>
      <c r="DA194">
        <v>1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1</v>
      </c>
      <c r="DH194">
        <v>0</v>
      </c>
      <c r="DI194">
        <v>1</v>
      </c>
      <c r="DJ194">
        <v>8</v>
      </c>
      <c r="DK194">
        <v>24</v>
      </c>
      <c r="DL194">
        <v>15</v>
      </c>
      <c r="DM194">
        <v>1</v>
      </c>
      <c r="DN194">
        <v>0</v>
      </c>
      <c r="DO194">
        <v>5</v>
      </c>
      <c r="DP194">
        <v>2</v>
      </c>
      <c r="DQ194">
        <v>0</v>
      </c>
      <c r="DR194">
        <v>1</v>
      </c>
      <c r="DS194">
        <v>0</v>
      </c>
      <c r="DT194">
        <v>0</v>
      </c>
      <c r="DU194">
        <v>0</v>
      </c>
      <c r="DV194">
        <v>24</v>
      </c>
      <c r="DW194">
        <v>47</v>
      </c>
      <c r="DX194">
        <v>15</v>
      </c>
      <c r="DY194">
        <v>3</v>
      </c>
      <c r="DZ194">
        <v>0</v>
      </c>
      <c r="EA194">
        <v>4</v>
      </c>
      <c r="EB194">
        <v>0</v>
      </c>
      <c r="EC194">
        <v>11</v>
      </c>
      <c r="ED194">
        <v>14</v>
      </c>
      <c r="EE194">
        <v>0</v>
      </c>
      <c r="EF194">
        <v>0</v>
      </c>
      <c r="EG194">
        <v>0</v>
      </c>
      <c r="EH194">
        <v>47</v>
      </c>
      <c r="EI194">
        <v>1</v>
      </c>
      <c r="EJ194">
        <v>1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1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1</v>
      </c>
      <c r="FF194">
        <v>0</v>
      </c>
      <c r="FG194">
        <v>1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1</v>
      </c>
    </row>
    <row r="195" spans="1:172" ht="14.25">
      <c r="A195">
        <v>190</v>
      </c>
      <c r="B195" t="str">
        <f>"101407"</f>
        <v>101407</v>
      </c>
      <c r="C195" t="str">
        <f>"Klonowa"</f>
        <v>Klonowa</v>
      </c>
      <c r="D195" t="str">
        <f t="shared" si="28"/>
        <v>sieradzki</v>
      </c>
      <c r="E195" t="str">
        <f t="shared" si="22"/>
        <v>łódzkie</v>
      </c>
      <c r="F195">
        <v>2</v>
      </c>
      <c r="G195" t="str">
        <f>"Gminny Ośrodek Kultury w Klonowej, ul. Czajkowska 1b, 98-273 Klonowa"</f>
        <v>Gminny Ośrodek Kultury w Klonowej, ul. Czajkowska 1b, 98-273 Klonowa</v>
      </c>
      <c r="H195">
        <v>652</v>
      </c>
      <c r="I195">
        <v>652</v>
      </c>
      <c r="J195">
        <v>0</v>
      </c>
      <c r="K195">
        <v>460</v>
      </c>
      <c r="L195">
        <v>346</v>
      </c>
      <c r="M195">
        <v>114</v>
      </c>
      <c r="N195">
        <v>114</v>
      </c>
      <c r="O195">
        <v>0</v>
      </c>
      <c r="P195">
        <v>0</v>
      </c>
      <c r="Q195">
        <v>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114</v>
      </c>
      <c r="Z195">
        <v>0</v>
      </c>
      <c r="AA195">
        <v>0</v>
      </c>
      <c r="AB195">
        <v>114</v>
      </c>
      <c r="AC195">
        <v>9</v>
      </c>
      <c r="AD195">
        <v>105</v>
      </c>
      <c r="AE195">
        <v>2</v>
      </c>
      <c r="AF195">
        <v>0</v>
      </c>
      <c r="AG195">
        <v>0</v>
      </c>
      <c r="AH195">
        <v>0</v>
      </c>
      <c r="AI195">
        <v>0</v>
      </c>
      <c r="AJ195">
        <v>1</v>
      </c>
      <c r="AK195">
        <v>0</v>
      </c>
      <c r="AL195">
        <v>0</v>
      </c>
      <c r="AM195">
        <v>1</v>
      </c>
      <c r="AN195">
        <v>0</v>
      </c>
      <c r="AO195">
        <v>0</v>
      </c>
      <c r="AP195">
        <v>2</v>
      </c>
      <c r="AQ195">
        <v>2</v>
      </c>
      <c r="AR195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2</v>
      </c>
      <c r="BC195">
        <v>12</v>
      </c>
      <c r="BD195">
        <v>3</v>
      </c>
      <c r="BE195">
        <v>2</v>
      </c>
      <c r="BF195">
        <v>3</v>
      </c>
      <c r="BG195">
        <v>1</v>
      </c>
      <c r="BH195">
        <v>0</v>
      </c>
      <c r="BI195">
        <v>1</v>
      </c>
      <c r="BJ195">
        <v>0</v>
      </c>
      <c r="BK195">
        <v>0</v>
      </c>
      <c r="BL195">
        <v>1</v>
      </c>
      <c r="BM195">
        <v>1</v>
      </c>
      <c r="BN195">
        <v>12</v>
      </c>
      <c r="BO195">
        <v>35</v>
      </c>
      <c r="BP195">
        <v>26</v>
      </c>
      <c r="BQ195">
        <v>2</v>
      </c>
      <c r="BR195">
        <v>0</v>
      </c>
      <c r="BS195">
        <v>5</v>
      </c>
      <c r="BT195">
        <v>0</v>
      </c>
      <c r="BU195">
        <v>0</v>
      </c>
      <c r="BV195">
        <v>1</v>
      </c>
      <c r="BW195">
        <v>0</v>
      </c>
      <c r="BX195">
        <v>1</v>
      </c>
      <c r="BY195">
        <v>0</v>
      </c>
      <c r="BZ195">
        <v>35</v>
      </c>
      <c r="CA195">
        <v>2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1</v>
      </c>
      <c r="CJ195">
        <v>0</v>
      </c>
      <c r="CK195">
        <v>0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5</v>
      </c>
      <c r="CZ195">
        <v>1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2</v>
      </c>
      <c r="DI195">
        <v>0</v>
      </c>
      <c r="DJ195">
        <v>5</v>
      </c>
      <c r="DK195">
        <v>18</v>
      </c>
      <c r="DL195">
        <v>7</v>
      </c>
      <c r="DM195">
        <v>1</v>
      </c>
      <c r="DN195">
        <v>0</v>
      </c>
      <c r="DO195">
        <v>7</v>
      </c>
      <c r="DP195">
        <v>1</v>
      </c>
      <c r="DQ195">
        <v>0</v>
      </c>
      <c r="DR195">
        <v>1</v>
      </c>
      <c r="DS195">
        <v>0</v>
      </c>
      <c r="DT195">
        <v>1</v>
      </c>
      <c r="DU195">
        <v>0</v>
      </c>
      <c r="DV195">
        <v>18</v>
      </c>
      <c r="DW195">
        <v>22</v>
      </c>
      <c r="DX195">
        <v>10</v>
      </c>
      <c r="DY195">
        <v>1</v>
      </c>
      <c r="DZ195">
        <v>0</v>
      </c>
      <c r="EA195">
        <v>2</v>
      </c>
      <c r="EB195">
        <v>0</v>
      </c>
      <c r="EC195">
        <v>1</v>
      </c>
      <c r="ED195">
        <v>6</v>
      </c>
      <c r="EE195">
        <v>1</v>
      </c>
      <c r="EF195">
        <v>0</v>
      </c>
      <c r="EG195">
        <v>1</v>
      </c>
      <c r="EH195">
        <v>22</v>
      </c>
      <c r="EI195">
        <v>3</v>
      </c>
      <c r="EJ195">
        <v>0</v>
      </c>
      <c r="EK195">
        <v>2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1</v>
      </c>
      <c r="ER195">
        <v>3</v>
      </c>
      <c r="ES195">
        <v>4</v>
      </c>
      <c r="ET195">
        <v>2</v>
      </c>
      <c r="EU195">
        <v>0</v>
      </c>
      <c r="EV195">
        <v>2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4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</row>
    <row r="196" spans="1:172" ht="14.25">
      <c r="A196">
        <v>191</v>
      </c>
      <c r="B196" t="str">
        <f>"101407"</f>
        <v>101407</v>
      </c>
      <c r="C196" t="str">
        <f>"Klonowa"</f>
        <v>Klonowa</v>
      </c>
      <c r="D196" t="str">
        <f t="shared" si="28"/>
        <v>sieradzki</v>
      </c>
      <c r="E196" t="str">
        <f t="shared" si="22"/>
        <v>łódzkie</v>
      </c>
      <c r="F196">
        <v>3</v>
      </c>
      <c r="G196" t="str">
        <f>"Szkoła Podstawowa w Kuźnicy Błońskiej, Kuźnica Błońska 9, 98-273 Klonowa"</f>
        <v>Szkoła Podstawowa w Kuźnicy Błońskiej, Kuźnica Błońska 9, 98-273 Klonowa</v>
      </c>
      <c r="H196">
        <v>343</v>
      </c>
      <c r="I196">
        <v>343</v>
      </c>
      <c r="J196">
        <v>0</v>
      </c>
      <c r="K196">
        <v>241</v>
      </c>
      <c r="L196">
        <v>203</v>
      </c>
      <c r="M196">
        <v>38</v>
      </c>
      <c r="N196">
        <v>38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38</v>
      </c>
      <c r="Z196">
        <v>0</v>
      </c>
      <c r="AA196">
        <v>0</v>
      </c>
      <c r="AB196">
        <v>38</v>
      </c>
      <c r="AC196">
        <v>1</v>
      </c>
      <c r="AD196">
        <v>37</v>
      </c>
      <c r="AE196">
        <v>1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2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2</v>
      </c>
      <c r="BB196">
        <v>2</v>
      </c>
      <c r="BC196">
        <v>7</v>
      </c>
      <c r="BD196">
        <v>0</v>
      </c>
      <c r="BE196">
        <v>0</v>
      </c>
      <c r="BF196">
        <v>7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7</v>
      </c>
      <c r="BO196">
        <v>11</v>
      </c>
      <c r="BP196">
        <v>11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11</v>
      </c>
      <c r="CA196">
        <v>1</v>
      </c>
      <c r="CB196">
        <v>1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2</v>
      </c>
      <c r="CZ196">
        <v>0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1</v>
      </c>
      <c r="DG196">
        <v>0</v>
      </c>
      <c r="DH196">
        <v>0</v>
      </c>
      <c r="DI196">
        <v>0</v>
      </c>
      <c r="DJ196">
        <v>2</v>
      </c>
      <c r="DK196">
        <v>3</v>
      </c>
      <c r="DL196">
        <v>1</v>
      </c>
      <c r="DM196">
        <v>0</v>
      </c>
      <c r="DN196">
        <v>0</v>
      </c>
      <c r="DO196">
        <v>2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3</v>
      </c>
      <c r="DW196">
        <v>10</v>
      </c>
      <c r="DX196">
        <v>1</v>
      </c>
      <c r="DY196">
        <v>0</v>
      </c>
      <c r="DZ196">
        <v>1</v>
      </c>
      <c r="EA196">
        <v>1</v>
      </c>
      <c r="EB196">
        <v>0</v>
      </c>
      <c r="EC196">
        <v>0</v>
      </c>
      <c r="ED196">
        <v>5</v>
      </c>
      <c r="EE196">
        <v>1</v>
      </c>
      <c r="EF196">
        <v>1</v>
      </c>
      <c r="EG196">
        <v>0</v>
      </c>
      <c r="EH196">
        <v>10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</row>
    <row r="197" spans="1:172" ht="14.25">
      <c r="A197">
        <v>192</v>
      </c>
      <c r="B197" t="str">
        <f>"101407"</f>
        <v>101407</v>
      </c>
      <c r="C197" t="str">
        <f>"Klonowa"</f>
        <v>Klonowa</v>
      </c>
      <c r="D197" t="str">
        <f t="shared" si="28"/>
        <v>sieradzki</v>
      </c>
      <c r="E197" t="str">
        <f t="shared" si="22"/>
        <v>łódzkie</v>
      </c>
      <c r="F197">
        <v>4</v>
      </c>
      <c r="G197" t="str">
        <f>"Strażnica OSP w Owieczkach, Owieczki 35, 98-273 Klonowa"</f>
        <v>Strażnica OSP w Owieczkach, Owieczki 35, 98-273 Klonowa</v>
      </c>
      <c r="H197">
        <v>569</v>
      </c>
      <c r="I197">
        <v>569</v>
      </c>
      <c r="J197">
        <v>0</v>
      </c>
      <c r="K197">
        <v>400</v>
      </c>
      <c r="L197">
        <v>324</v>
      </c>
      <c r="M197">
        <v>76</v>
      </c>
      <c r="N197">
        <v>76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76</v>
      </c>
      <c r="Z197">
        <v>0</v>
      </c>
      <c r="AA197">
        <v>0</v>
      </c>
      <c r="AB197">
        <v>76</v>
      </c>
      <c r="AC197">
        <v>3</v>
      </c>
      <c r="AD197">
        <v>73</v>
      </c>
      <c r="AE197">
        <v>1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1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2</v>
      </c>
      <c r="BD197">
        <v>0</v>
      </c>
      <c r="BE197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1</v>
      </c>
      <c r="BN197">
        <v>2</v>
      </c>
      <c r="BO197">
        <v>24</v>
      </c>
      <c r="BP197">
        <v>11</v>
      </c>
      <c r="BQ197">
        <v>4</v>
      </c>
      <c r="BR197">
        <v>0</v>
      </c>
      <c r="BS197">
        <v>8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1</v>
      </c>
      <c r="BZ197">
        <v>24</v>
      </c>
      <c r="CA197">
        <v>1</v>
      </c>
      <c r="CB197">
        <v>0</v>
      </c>
      <c r="CC197">
        <v>0</v>
      </c>
      <c r="CD197">
        <v>1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1</v>
      </c>
      <c r="CM197">
        <v>2</v>
      </c>
      <c r="CN197">
        <v>1</v>
      </c>
      <c r="CO197">
        <v>0</v>
      </c>
      <c r="CP197">
        <v>0</v>
      </c>
      <c r="CQ197">
        <v>0</v>
      </c>
      <c r="CR197">
        <v>0</v>
      </c>
      <c r="CS197">
        <v>1</v>
      </c>
      <c r="CT197">
        <v>0</v>
      </c>
      <c r="CU197">
        <v>0</v>
      </c>
      <c r="CV197">
        <v>0</v>
      </c>
      <c r="CW197">
        <v>0</v>
      </c>
      <c r="CX197">
        <v>2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7</v>
      </c>
      <c r="DL197">
        <v>1</v>
      </c>
      <c r="DM197">
        <v>0</v>
      </c>
      <c r="DN197">
        <v>0</v>
      </c>
      <c r="DO197">
        <v>3</v>
      </c>
      <c r="DP197">
        <v>0</v>
      </c>
      <c r="DQ197">
        <v>1</v>
      </c>
      <c r="DR197">
        <v>0</v>
      </c>
      <c r="DS197">
        <v>0</v>
      </c>
      <c r="DT197">
        <v>0</v>
      </c>
      <c r="DU197">
        <v>2</v>
      </c>
      <c r="DV197">
        <v>7</v>
      </c>
      <c r="DW197">
        <v>31</v>
      </c>
      <c r="DX197">
        <v>10</v>
      </c>
      <c r="DY197">
        <v>5</v>
      </c>
      <c r="DZ197">
        <v>0</v>
      </c>
      <c r="EA197">
        <v>7</v>
      </c>
      <c r="EB197">
        <v>1</v>
      </c>
      <c r="EC197">
        <v>3</v>
      </c>
      <c r="ED197">
        <v>4</v>
      </c>
      <c r="EE197">
        <v>0</v>
      </c>
      <c r="EF197">
        <v>1</v>
      </c>
      <c r="EG197">
        <v>0</v>
      </c>
      <c r="EH197">
        <v>31</v>
      </c>
      <c r="EI197">
        <v>3</v>
      </c>
      <c r="EJ197">
        <v>1</v>
      </c>
      <c r="EK197">
        <v>1</v>
      </c>
      <c r="EL197">
        <v>0</v>
      </c>
      <c r="EM197">
        <v>0</v>
      </c>
      <c r="EN197">
        <v>0</v>
      </c>
      <c r="EO197">
        <v>0</v>
      </c>
      <c r="EP197">
        <v>1</v>
      </c>
      <c r="EQ197">
        <v>0</v>
      </c>
      <c r="ER197">
        <v>3</v>
      </c>
      <c r="ES197">
        <v>2</v>
      </c>
      <c r="ET197">
        <v>1</v>
      </c>
      <c r="EU197">
        <v>1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2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</row>
    <row r="198" spans="1:172" ht="14.25">
      <c r="A198">
        <v>193</v>
      </c>
      <c r="B198" t="str">
        <f aca="true" t="shared" si="33" ref="B198:B204">"101408"</f>
        <v>101408</v>
      </c>
      <c r="C198" t="str">
        <f aca="true" t="shared" si="34" ref="C198:C204">"Sieradz"</f>
        <v>Sieradz</v>
      </c>
      <c r="D198" t="str">
        <f t="shared" si="28"/>
        <v>sieradzki</v>
      </c>
      <c r="E198" t="str">
        <f aca="true" t="shared" si="35" ref="E198:E261">"łódzkie"</f>
        <v>łódzkie</v>
      </c>
      <c r="F198">
        <v>1</v>
      </c>
      <c r="G198" t="str">
        <f>"Szkoła Podstawowa, Dąbrowa Wielka 19, 98-200 Sieradz"</f>
        <v>Szkoła Podstawowa, Dąbrowa Wielka 19, 98-200 Sieradz</v>
      </c>
      <c r="H198">
        <v>933</v>
      </c>
      <c r="I198">
        <v>932</v>
      </c>
      <c r="J198">
        <v>1</v>
      </c>
      <c r="K198">
        <v>660</v>
      </c>
      <c r="L198">
        <v>500</v>
      </c>
      <c r="M198">
        <v>160</v>
      </c>
      <c r="N198">
        <v>160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160</v>
      </c>
      <c r="Z198">
        <v>0</v>
      </c>
      <c r="AA198">
        <v>0</v>
      </c>
      <c r="AB198">
        <v>160</v>
      </c>
      <c r="AC198">
        <v>7</v>
      </c>
      <c r="AD198">
        <v>153</v>
      </c>
      <c r="AE198">
        <v>3</v>
      </c>
      <c r="AF198">
        <v>2</v>
      </c>
      <c r="AG198">
        <v>0</v>
      </c>
      <c r="AH198">
        <v>0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3</v>
      </c>
      <c r="AQ198">
        <v>5</v>
      </c>
      <c r="AR198">
        <v>3</v>
      </c>
      <c r="AS198">
        <v>0</v>
      </c>
      <c r="AT198">
        <v>0</v>
      </c>
      <c r="AU198">
        <v>1</v>
      </c>
      <c r="AV198">
        <v>0</v>
      </c>
      <c r="AW198">
        <v>0</v>
      </c>
      <c r="AX198">
        <v>0</v>
      </c>
      <c r="AY198">
        <v>0</v>
      </c>
      <c r="AZ198">
        <v>1</v>
      </c>
      <c r="BA198">
        <v>0</v>
      </c>
      <c r="BB198">
        <v>5</v>
      </c>
      <c r="BC198">
        <v>12</v>
      </c>
      <c r="BD198">
        <v>4</v>
      </c>
      <c r="BE198">
        <v>0</v>
      </c>
      <c r="BF198">
        <v>7</v>
      </c>
      <c r="BG198">
        <v>0</v>
      </c>
      <c r="BH198">
        <v>1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12</v>
      </c>
      <c r="BO198">
        <v>73</v>
      </c>
      <c r="BP198">
        <v>37</v>
      </c>
      <c r="BQ198">
        <v>2</v>
      </c>
      <c r="BR198">
        <v>0</v>
      </c>
      <c r="BS198">
        <v>31</v>
      </c>
      <c r="BT198">
        <v>0</v>
      </c>
      <c r="BU198">
        <v>1</v>
      </c>
      <c r="BV198">
        <v>0</v>
      </c>
      <c r="BW198">
        <v>0</v>
      </c>
      <c r="BX198">
        <v>0</v>
      </c>
      <c r="BY198">
        <v>2</v>
      </c>
      <c r="BZ198">
        <v>73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5</v>
      </c>
      <c r="CN198">
        <v>4</v>
      </c>
      <c r="CO198">
        <v>0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5</v>
      </c>
      <c r="CY198">
        <v>8</v>
      </c>
      <c r="CZ198">
        <v>7</v>
      </c>
      <c r="DA198">
        <v>0</v>
      </c>
      <c r="DB198">
        <v>0</v>
      </c>
      <c r="DC198">
        <v>0</v>
      </c>
      <c r="DD198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8</v>
      </c>
      <c r="DK198">
        <v>18</v>
      </c>
      <c r="DL198">
        <v>7</v>
      </c>
      <c r="DM198">
        <v>0</v>
      </c>
      <c r="DN198">
        <v>0</v>
      </c>
      <c r="DO198">
        <v>8</v>
      </c>
      <c r="DP198">
        <v>0</v>
      </c>
      <c r="DQ198">
        <v>1</v>
      </c>
      <c r="DR198">
        <v>0</v>
      </c>
      <c r="DS198">
        <v>2</v>
      </c>
      <c r="DT198">
        <v>0</v>
      </c>
      <c r="DU198">
        <v>0</v>
      </c>
      <c r="DV198">
        <v>18</v>
      </c>
      <c r="DW198">
        <v>29</v>
      </c>
      <c r="DX198">
        <v>3</v>
      </c>
      <c r="DY198">
        <v>2</v>
      </c>
      <c r="DZ198">
        <v>0</v>
      </c>
      <c r="EA198">
        <v>19</v>
      </c>
      <c r="EB198">
        <v>1</v>
      </c>
      <c r="EC198">
        <v>1</v>
      </c>
      <c r="ED198">
        <v>2</v>
      </c>
      <c r="EE198">
        <v>0</v>
      </c>
      <c r="EF198">
        <v>1</v>
      </c>
      <c r="EG198">
        <v>0</v>
      </c>
      <c r="EH198">
        <v>29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</row>
    <row r="199" spans="1:172" ht="14.25">
      <c r="A199">
        <v>194</v>
      </c>
      <c r="B199" t="str">
        <f t="shared" si="33"/>
        <v>101408</v>
      </c>
      <c r="C199" t="str">
        <f t="shared" si="34"/>
        <v>Sieradz</v>
      </c>
      <c r="D199" t="str">
        <f aca="true" t="shared" si="36" ref="D199:D226">"sieradzki"</f>
        <v>sieradzki</v>
      </c>
      <c r="E199" t="str">
        <f t="shared" si="35"/>
        <v>łódzkie</v>
      </c>
      <c r="F199">
        <v>2</v>
      </c>
      <c r="G199" t="str">
        <f>"Szkoła Podstawowa w Charłupi Małej, Szkolna 15, Charłupia Mała, 98-200 Sieradz"</f>
        <v>Szkoła Podstawowa w Charłupi Małej, Szkolna 15, Charłupia Mała, 98-200 Sieradz</v>
      </c>
      <c r="H199">
        <v>1769</v>
      </c>
      <c r="I199">
        <v>1769</v>
      </c>
      <c r="J199">
        <v>0</v>
      </c>
      <c r="K199">
        <v>1250</v>
      </c>
      <c r="L199">
        <v>831</v>
      </c>
      <c r="M199">
        <v>419</v>
      </c>
      <c r="N199">
        <v>419</v>
      </c>
      <c r="O199">
        <v>0</v>
      </c>
      <c r="P199">
        <v>0</v>
      </c>
      <c r="Q199">
        <v>3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419</v>
      </c>
      <c r="Z199">
        <v>0</v>
      </c>
      <c r="AA199">
        <v>0</v>
      </c>
      <c r="AB199">
        <v>419</v>
      </c>
      <c r="AC199">
        <v>10</v>
      </c>
      <c r="AD199">
        <v>409</v>
      </c>
      <c r="AE199">
        <v>6</v>
      </c>
      <c r="AF199">
        <v>2</v>
      </c>
      <c r="AG199">
        <v>0</v>
      </c>
      <c r="AH199">
        <v>1</v>
      </c>
      <c r="AI199">
        <v>1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0</v>
      </c>
      <c r="AP199">
        <v>6</v>
      </c>
      <c r="AQ199">
        <v>8</v>
      </c>
      <c r="AR199">
        <v>4</v>
      </c>
      <c r="AS199">
        <v>1</v>
      </c>
      <c r="AT199">
        <v>0</v>
      </c>
      <c r="AU199">
        <v>0</v>
      </c>
      <c r="AV199">
        <v>0</v>
      </c>
      <c r="AW199">
        <v>1</v>
      </c>
      <c r="AX199">
        <v>0</v>
      </c>
      <c r="AY199">
        <v>0</v>
      </c>
      <c r="AZ199">
        <v>0</v>
      </c>
      <c r="BA199">
        <v>2</v>
      </c>
      <c r="BB199">
        <v>8</v>
      </c>
      <c r="BC199">
        <v>22</v>
      </c>
      <c r="BD199">
        <v>8</v>
      </c>
      <c r="BE199">
        <v>1</v>
      </c>
      <c r="BF199">
        <v>6</v>
      </c>
      <c r="BG199">
        <v>0</v>
      </c>
      <c r="BH199">
        <v>1</v>
      </c>
      <c r="BI199">
        <v>0</v>
      </c>
      <c r="BJ199">
        <v>0</v>
      </c>
      <c r="BK199">
        <v>1</v>
      </c>
      <c r="BL199">
        <v>2</v>
      </c>
      <c r="BM199">
        <v>3</v>
      </c>
      <c r="BN199">
        <v>22</v>
      </c>
      <c r="BO199">
        <v>252</v>
      </c>
      <c r="BP199">
        <v>206</v>
      </c>
      <c r="BQ199">
        <v>12</v>
      </c>
      <c r="BR199">
        <v>4</v>
      </c>
      <c r="BS199">
        <v>25</v>
      </c>
      <c r="BT199">
        <v>1</v>
      </c>
      <c r="BU199">
        <v>0</v>
      </c>
      <c r="BV199">
        <v>1</v>
      </c>
      <c r="BW199">
        <v>0</v>
      </c>
      <c r="BX199">
        <v>1</v>
      </c>
      <c r="BY199">
        <v>2</v>
      </c>
      <c r="BZ199">
        <v>252</v>
      </c>
      <c r="CA199">
        <v>1</v>
      </c>
      <c r="CB199">
        <v>0</v>
      </c>
      <c r="CC199">
        <v>1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10</v>
      </c>
      <c r="CN199">
        <v>6</v>
      </c>
      <c r="CO199">
        <v>1</v>
      </c>
      <c r="CP199">
        <v>1</v>
      </c>
      <c r="CQ199">
        <v>0</v>
      </c>
      <c r="CR199">
        <v>0</v>
      </c>
      <c r="CS199">
        <v>0</v>
      </c>
      <c r="CT199">
        <v>2</v>
      </c>
      <c r="CU199">
        <v>0</v>
      </c>
      <c r="CV199">
        <v>0</v>
      </c>
      <c r="CW199">
        <v>0</v>
      </c>
      <c r="CX199">
        <v>10</v>
      </c>
      <c r="CY199">
        <v>14</v>
      </c>
      <c r="CZ199">
        <v>10</v>
      </c>
      <c r="DA199">
        <v>1</v>
      </c>
      <c r="DB199">
        <v>0</v>
      </c>
      <c r="DC199">
        <v>0</v>
      </c>
      <c r="DD199">
        <v>2</v>
      </c>
      <c r="DE199">
        <v>0</v>
      </c>
      <c r="DF199">
        <v>0</v>
      </c>
      <c r="DG199">
        <v>0</v>
      </c>
      <c r="DH199">
        <v>1</v>
      </c>
      <c r="DI199">
        <v>0</v>
      </c>
      <c r="DJ199">
        <v>14</v>
      </c>
      <c r="DK199">
        <v>54</v>
      </c>
      <c r="DL199">
        <v>28</v>
      </c>
      <c r="DM199">
        <v>6</v>
      </c>
      <c r="DN199">
        <v>1</v>
      </c>
      <c r="DO199">
        <v>15</v>
      </c>
      <c r="DP199">
        <v>0</v>
      </c>
      <c r="DQ199">
        <v>0</v>
      </c>
      <c r="DR199">
        <v>0</v>
      </c>
      <c r="DS199">
        <v>0</v>
      </c>
      <c r="DT199">
        <v>1</v>
      </c>
      <c r="DU199">
        <v>3</v>
      </c>
      <c r="DV199">
        <v>54</v>
      </c>
      <c r="DW199">
        <v>39</v>
      </c>
      <c r="DX199">
        <v>14</v>
      </c>
      <c r="DY199">
        <v>2</v>
      </c>
      <c r="DZ199">
        <v>0</v>
      </c>
      <c r="EA199">
        <v>9</v>
      </c>
      <c r="EB199">
        <v>0</v>
      </c>
      <c r="EC199">
        <v>3</v>
      </c>
      <c r="ED199">
        <v>6</v>
      </c>
      <c r="EE199">
        <v>1</v>
      </c>
      <c r="EF199">
        <v>0</v>
      </c>
      <c r="EG199">
        <v>4</v>
      </c>
      <c r="EH199">
        <v>39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2</v>
      </c>
      <c r="ET199">
        <v>1</v>
      </c>
      <c r="EU199">
        <v>1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2</v>
      </c>
      <c r="FE199">
        <v>1</v>
      </c>
      <c r="FF199">
        <v>0</v>
      </c>
      <c r="FG199">
        <v>0</v>
      </c>
      <c r="FH199">
        <v>0</v>
      </c>
      <c r="FI199">
        <v>1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1</v>
      </c>
    </row>
    <row r="200" spans="1:172" ht="14.25">
      <c r="A200">
        <v>195</v>
      </c>
      <c r="B200" t="str">
        <f t="shared" si="33"/>
        <v>101408</v>
      </c>
      <c r="C200" t="str">
        <f t="shared" si="34"/>
        <v>Sieradz</v>
      </c>
      <c r="D200" t="str">
        <f t="shared" si="36"/>
        <v>sieradzki</v>
      </c>
      <c r="E200" t="str">
        <f t="shared" si="35"/>
        <v>łódzkie</v>
      </c>
      <c r="F200">
        <v>3</v>
      </c>
      <c r="G200" t="str">
        <f>"Szkoła Podstawowa w Chojnem, Główna 1, Chojne, 98-200 Sieradz"</f>
        <v>Szkoła Podstawowa w Chojnem, Główna 1, Chojne, 98-200 Sieradz</v>
      </c>
      <c r="H200">
        <v>1893</v>
      </c>
      <c r="I200">
        <v>1893</v>
      </c>
      <c r="J200">
        <v>0</v>
      </c>
      <c r="K200">
        <v>1329</v>
      </c>
      <c r="L200">
        <v>984</v>
      </c>
      <c r="M200">
        <v>345</v>
      </c>
      <c r="N200">
        <v>345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345</v>
      </c>
      <c r="Z200">
        <v>0</v>
      </c>
      <c r="AA200">
        <v>0</v>
      </c>
      <c r="AB200">
        <v>345</v>
      </c>
      <c r="AC200">
        <v>8</v>
      </c>
      <c r="AD200">
        <v>337</v>
      </c>
      <c r="AE200">
        <v>11</v>
      </c>
      <c r="AF200">
        <v>3</v>
      </c>
      <c r="AG200">
        <v>1</v>
      </c>
      <c r="AH200">
        <v>0</v>
      </c>
      <c r="AI200">
        <v>1</v>
      </c>
      <c r="AJ200">
        <v>0</v>
      </c>
      <c r="AK200">
        <v>0</v>
      </c>
      <c r="AL200">
        <v>6</v>
      </c>
      <c r="AM200">
        <v>0</v>
      </c>
      <c r="AN200">
        <v>0</v>
      </c>
      <c r="AO200">
        <v>0</v>
      </c>
      <c r="AP200">
        <v>11</v>
      </c>
      <c r="AQ200">
        <v>3</v>
      </c>
      <c r="AR200">
        <v>1</v>
      </c>
      <c r="AS200">
        <v>0</v>
      </c>
      <c r="AT200">
        <v>0</v>
      </c>
      <c r="AU200">
        <v>0</v>
      </c>
      <c r="AV200">
        <v>0</v>
      </c>
      <c r="AW200">
        <v>1</v>
      </c>
      <c r="AX200">
        <v>1</v>
      </c>
      <c r="AY200">
        <v>0</v>
      </c>
      <c r="AZ200">
        <v>0</v>
      </c>
      <c r="BA200">
        <v>0</v>
      </c>
      <c r="BB200">
        <v>3</v>
      </c>
      <c r="BC200">
        <v>32</v>
      </c>
      <c r="BD200">
        <v>6</v>
      </c>
      <c r="BE200">
        <v>3</v>
      </c>
      <c r="BF200">
        <v>21</v>
      </c>
      <c r="BG200">
        <v>0</v>
      </c>
      <c r="BH200">
        <v>0</v>
      </c>
      <c r="BI200">
        <v>1</v>
      </c>
      <c r="BJ200">
        <v>0</v>
      </c>
      <c r="BK200">
        <v>0</v>
      </c>
      <c r="BL200">
        <v>0</v>
      </c>
      <c r="BM200">
        <v>1</v>
      </c>
      <c r="BN200">
        <v>32</v>
      </c>
      <c r="BO200">
        <v>151</v>
      </c>
      <c r="BP200">
        <v>104</v>
      </c>
      <c r="BQ200">
        <v>8</v>
      </c>
      <c r="BR200">
        <v>4</v>
      </c>
      <c r="BS200">
        <v>24</v>
      </c>
      <c r="BT200">
        <v>4</v>
      </c>
      <c r="BU200">
        <v>2</v>
      </c>
      <c r="BV200">
        <v>0</v>
      </c>
      <c r="BW200">
        <v>3</v>
      </c>
      <c r="BX200">
        <v>2</v>
      </c>
      <c r="BY200">
        <v>0</v>
      </c>
      <c r="BZ200">
        <v>151</v>
      </c>
      <c r="CA200">
        <v>6</v>
      </c>
      <c r="CB200">
        <v>4</v>
      </c>
      <c r="CC200">
        <v>0</v>
      </c>
      <c r="CD200">
        <v>2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6</v>
      </c>
      <c r="CM200">
        <v>6</v>
      </c>
      <c r="CN200">
        <v>5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1</v>
      </c>
      <c r="CV200">
        <v>0</v>
      </c>
      <c r="CW200">
        <v>0</v>
      </c>
      <c r="CX200">
        <v>6</v>
      </c>
      <c r="CY200">
        <v>37</v>
      </c>
      <c r="CZ200">
        <v>19</v>
      </c>
      <c r="DA200">
        <v>3</v>
      </c>
      <c r="DB200">
        <v>1</v>
      </c>
      <c r="DC200">
        <v>1</v>
      </c>
      <c r="DD200">
        <v>2</v>
      </c>
      <c r="DE200">
        <v>2</v>
      </c>
      <c r="DF200">
        <v>5</v>
      </c>
      <c r="DG200">
        <v>0</v>
      </c>
      <c r="DH200">
        <v>4</v>
      </c>
      <c r="DI200">
        <v>0</v>
      </c>
      <c r="DJ200">
        <v>37</v>
      </c>
      <c r="DK200">
        <v>69</v>
      </c>
      <c r="DL200">
        <v>28</v>
      </c>
      <c r="DM200">
        <v>10</v>
      </c>
      <c r="DN200">
        <v>0</v>
      </c>
      <c r="DO200">
        <v>31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69</v>
      </c>
      <c r="DW200">
        <v>19</v>
      </c>
      <c r="DX200">
        <v>9</v>
      </c>
      <c r="DY200">
        <v>0</v>
      </c>
      <c r="DZ200">
        <v>0</v>
      </c>
      <c r="EA200">
        <v>4</v>
      </c>
      <c r="EB200">
        <v>0</v>
      </c>
      <c r="EC200">
        <v>6</v>
      </c>
      <c r="ED200">
        <v>0</v>
      </c>
      <c r="EE200">
        <v>0</v>
      </c>
      <c r="EF200">
        <v>0</v>
      </c>
      <c r="EG200">
        <v>0</v>
      </c>
      <c r="EH200">
        <v>19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3</v>
      </c>
      <c r="FF200">
        <v>0</v>
      </c>
      <c r="FG200">
        <v>1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1</v>
      </c>
      <c r="FN200">
        <v>0</v>
      </c>
      <c r="FO200">
        <v>1</v>
      </c>
      <c r="FP200">
        <v>3</v>
      </c>
    </row>
    <row r="201" spans="1:172" ht="14.25">
      <c r="A201">
        <v>196</v>
      </c>
      <c r="B201" t="str">
        <f t="shared" si="33"/>
        <v>101408</v>
      </c>
      <c r="C201" t="str">
        <f t="shared" si="34"/>
        <v>Sieradz</v>
      </c>
      <c r="D201" t="str">
        <f t="shared" si="36"/>
        <v>sieradzki</v>
      </c>
      <c r="E201" t="str">
        <f t="shared" si="35"/>
        <v>łódzkie</v>
      </c>
      <c r="F201">
        <v>4</v>
      </c>
      <c r="G201" t="str">
        <f>"Szkoła Podstawowa, Kłocko 11, 98-200 Sieradz"</f>
        <v>Szkoła Podstawowa, Kłocko 11, 98-200 Sieradz</v>
      </c>
      <c r="H201">
        <v>1118</v>
      </c>
      <c r="I201">
        <v>1118</v>
      </c>
      <c r="J201">
        <v>0</v>
      </c>
      <c r="K201">
        <v>790</v>
      </c>
      <c r="L201">
        <v>580</v>
      </c>
      <c r="M201">
        <v>210</v>
      </c>
      <c r="N201">
        <v>210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210</v>
      </c>
      <c r="Z201">
        <v>0</v>
      </c>
      <c r="AA201">
        <v>0</v>
      </c>
      <c r="AB201">
        <v>210</v>
      </c>
      <c r="AC201">
        <v>9</v>
      </c>
      <c r="AD201">
        <v>201</v>
      </c>
      <c r="AE201">
        <v>5</v>
      </c>
      <c r="AF201">
        <v>1</v>
      </c>
      <c r="AG201">
        <v>0</v>
      </c>
      <c r="AH201">
        <v>0</v>
      </c>
      <c r="AI201">
        <v>0</v>
      </c>
      <c r="AJ201">
        <v>2</v>
      </c>
      <c r="AK201">
        <v>0</v>
      </c>
      <c r="AL201">
        <v>1</v>
      </c>
      <c r="AM201">
        <v>1</v>
      </c>
      <c r="AN201">
        <v>0</v>
      </c>
      <c r="AO201">
        <v>0</v>
      </c>
      <c r="AP201">
        <v>5</v>
      </c>
      <c r="AQ201">
        <v>2</v>
      </c>
      <c r="AR201">
        <v>2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2</v>
      </c>
      <c r="BC201">
        <v>9</v>
      </c>
      <c r="BD201">
        <v>1</v>
      </c>
      <c r="BE201">
        <v>0</v>
      </c>
      <c r="BF201">
        <v>7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1</v>
      </c>
      <c r="BN201">
        <v>9</v>
      </c>
      <c r="BO201">
        <v>92</v>
      </c>
      <c r="BP201">
        <v>80</v>
      </c>
      <c r="BQ201">
        <v>0</v>
      </c>
      <c r="BR201">
        <v>0</v>
      </c>
      <c r="BS201">
        <v>9</v>
      </c>
      <c r="BT201">
        <v>0</v>
      </c>
      <c r="BU201">
        <v>0</v>
      </c>
      <c r="BV201">
        <v>1</v>
      </c>
      <c r="BW201">
        <v>0</v>
      </c>
      <c r="BX201">
        <v>0</v>
      </c>
      <c r="BY201">
        <v>2</v>
      </c>
      <c r="BZ201">
        <v>92</v>
      </c>
      <c r="CA201">
        <v>4</v>
      </c>
      <c r="CB201">
        <v>2</v>
      </c>
      <c r="CC201">
        <v>1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>
        <v>0</v>
      </c>
      <c r="CL201">
        <v>4</v>
      </c>
      <c r="CM201">
        <v>9</v>
      </c>
      <c r="CN201">
        <v>8</v>
      </c>
      <c r="CO201">
        <v>1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9</v>
      </c>
      <c r="CY201">
        <v>12</v>
      </c>
      <c r="CZ201">
        <v>9</v>
      </c>
      <c r="DA201">
        <v>2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>
        <v>12</v>
      </c>
      <c r="DK201">
        <v>51</v>
      </c>
      <c r="DL201">
        <v>25</v>
      </c>
      <c r="DM201">
        <v>4</v>
      </c>
      <c r="DN201">
        <v>0</v>
      </c>
      <c r="DO201">
        <v>19</v>
      </c>
      <c r="DP201">
        <v>1</v>
      </c>
      <c r="DQ201">
        <v>0</v>
      </c>
      <c r="DR201">
        <v>0</v>
      </c>
      <c r="DS201">
        <v>0</v>
      </c>
      <c r="DT201">
        <v>0</v>
      </c>
      <c r="DU201">
        <v>2</v>
      </c>
      <c r="DV201">
        <v>51</v>
      </c>
      <c r="DW201">
        <v>15</v>
      </c>
      <c r="DX201">
        <v>1</v>
      </c>
      <c r="DY201">
        <v>1</v>
      </c>
      <c r="DZ201">
        <v>1</v>
      </c>
      <c r="EA201">
        <v>7</v>
      </c>
      <c r="EB201">
        <v>0</v>
      </c>
      <c r="EC201">
        <v>0</v>
      </c>
      <c r="ED201">
        <v>0</v>
      </c>
      <c r="EE201">
        <v>5</v>
      </c>
      <c r="EF201">
        <v>0</v>
      </c>
      <c r="EG201">
        <v>0</v>
      </c>
      <c r="EH201">
        <v>15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2</v>
      </c>
      <c r="FF201">
        <v>0</v>
      </c>
      <c r="FG201">
        <v>1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1</v>
      </c>
      <c r="FN201">
        <v>0</v>
      </c>
      <c r="FO201">
        <v>0</v>
      </c>
      <c r="FP201">
        <v>2</v>
      </c>
    </row>
    <row r="202" spans="1:172" ht="14.25">
      <c r="A202">
        <v>197</v>
      </c>
      <c r="B202" t="str">
        <f t="shared" si="33"/>
        <v>101408</v>
      </c>
      <c r="C202" t="str">
        <f t="shared" si="34"/>
        <v>Sieradz</v>
      </c>
      <c r="D202" t="str">
        <f t="shared" si="36"/>
        <v>sieradzki</v>
      </c>
      <c r="E202" t="str">
        <f t="shared" si="35"/>
        <v>łódzkie</v>
      </c>
      <c r="F202">
        <v>5</v>
      </c>
      <c r="G202" t="str">
        <f>"Remiza OSP, Ruda 106D, 98-200 Sieradz"</f>
        <v>Remiza OSP, Ruda 106D, 98-200 Sieradz</v>
      </c>
      <c r="H202">
        <v>1116</v>
      </c>
      <c r="I202">
        <v>1116</v>
      </c>
      <c r="J202">
        <v>0</v>
      </c>
      <c r="K202">
        <v>788</v>
      </c>
      <c r="L202">
        <v>657</v>
      </c>
      <c r="M202">
        <v>131</v>
      </c>
      <c r="N202">
        <v>131</v>
      </c>
      <c r="O202">
        <v>0</v>
      </c>
      <c r="P202">
        <v>0</v>
      </c>
      <c r="Q202">
        <v>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131</v>
      </c>
      <c r="Z202">
        <v>0</v>
      </c>
      <c r="AA202">
        <v>0</v>
      </c>
      <c r="AB202">
        <v>131</v>
      </c>
      <c r="AC202">
        <v>7</v>
      </c>
      <c r="AD202">
        <v>124</v>
      </c>
      <c r="AE202">
        <v>3</v>
      </c>
      <c r="AF202">
        <v>1</v>
      </c>
      <c r="AG202">
        <v>1</v>
      </c>
      <c r="AH202">
        <v>1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3</v>
      </c>
      <c r="AQ202">
        <v>5</v>
      </c>
      <c r="AR202">
        <v>1</v>
      </c>
      <c r="AS202">
        <v>1</v>
      </c>
      <c r="AT202">
        <v>0</v>
      </c>
      <c r="AU202">
        <v>1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2</v>
      </c>
      <c r="BB202">
        <v>5</v>
      </c>
      <c r="BC202">
        <v>6</v>
      </c>
      <c r="BD202">
        <v>3</v>
      </c>
      <c r="BE202">
        <v>0</v>
      </c>
      <c r="BF202">
        <v>3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6</v>
      </c>
      <c r="BO202">
        <v>62</v>
      </c>
      <c r="BP202">
        <v>48</v>
      </c>
      <c r="BQ202">
        <v>2</v>
      </c>
      <c r="BR202">
        <v>0</v>
      </c>
      <c r="BS202">
        <v>9</v>
      </c>
      <c r="BT202">
        <v>0</v>
      </c>
      <c r="BU202">
        <v>0</v>
      </c>
      <c r="BV202">
        <v>1</v>
      </c>
      <c r="BW202">
        <v>2</v>
      </c>
      <c r="BX202">
        <v>0</v>
      </c>
      <c r="BY202">
        <v>0</v>
      </c>
      <c r="BZ202">
        <v>62</v>
      </c>
      <c r="CA202">
        <v>1</v>
      </c>
      <c r="CB202">
        <v>1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4</v>
      </c>
      <c r="CN202">
        <v>4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4</v>
      </c>
      <c r="CY202">
        <v>10</v>
      </c>
      <c r="CZ202">
        <v>3</v>
      </c>
      <c r="DA202">
        <v>2</v>
      </c>
      <c r="DB202">
        <v>0</v>
      </c>
      <c r="DC202">
        <v>1</v>
      </c>
      <c r="DD202">
        <v>1</v>
      </c>
      <c r="DE202">
        <v>1</v>
      </c>
      <c r="DF202">
        <v>0</v>
      </c>
      <c r="DG202">
        <v>1</v>
      </c>
      <c r="DH202">
        <v>1</v>
      </c>
      <c r="DI202">
        <v>0</v>
      </c>
      <c r="DJ202">
        <v>10</v>
      </c>
      <c r="DK202">
        <v>24</v>
      </c>
      <c r="DL202">
        <v>17</v>
      </c>
      <c r="DM202">
        <v>1</v>
      </c>
      <c r="DN202">
        <v>0</v>
      </c>
      <c r="DO202">
        <v>4</v>
      </c>
      <c r="DP202">
        <v>0</v>
      </c>
      <c r="DQ202">
        <v>0</v>
      </c>
      <c r="DR202">
        <v>0</v>
      </c>
      <c r="DS202">
        <v>0</v>
      </c>
      <c r="DT202">
        <v>1</v>
      </c>
      <c r="DU202">
        <v>1</v>
      </c>
      <c r="DV202">
        <v>24</v>
      </c>
      <c r="DW202">
        <v>6</v>
      </c>
      <c r="DX202">
        <v>2</v>
      </c>
      <c r="DY202">
        <v>0</v>
      </c>
      <c r="DZ202">
        <v>0</v>
      </c>
      <c r="EA202">
        <v>0</v>
      </c>
      <c r="EB202">
        <v>0</v>
      </c>
      <c r="EC202">
        <v>2</v>
      </c>
      <c r="ED202">
        <v>1</v>
      </c>
      <c r="EE202">
        <v>1</v>
      </c>
      <c r="EF202">
        <v>0</v>
      </c>
      <c r="EG202">
        <v>0</v>
      </c>
      <c r="EH202">
        <v>6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3</v>
      </c>
      <c r="FF202">
        <v>0</v>
      </c>
      <c r="FG202">
        <v>1</v>
      </c>
      <c r="FH202">
        <v>0</v>
      </c>
      <c r="FI202">
        <v>0</v>
      </c>
      <c r="FJ202">
        <v>0</v>
      </c>
      <c r="FK202">
        <v>0</v>
      </c>
      <c r="FL202">
        <v>1</v>
      </c>
      <c r="FM202">
        <v>0</v>
      </c>
      <c r="FN202">
        <v>0</v>
      </c>
      <c r="FO202">
        <v>1</v>
      </c>
      <c r="FP202">
        <v>3</v>
      </c>
    </row>
    <row r="203" spans="1:172" ht="14.25">
      <c r="A203">
        <v>198</v>
      </c>
      <c r="B203" t="str">
        <f t="shared" si="33"/>
        <v>101408</v>
      </c>
      <c r="C203" t="str">
        <f t="shared" si="34"/>
        <v>Sieradz</v>
      </c>
      <c r="D203" t="str">
        <f t="shared" si="36"/>
        <v>sieradzki</v>
      </c>
      <c r="E203" t="str">
        <f t="shared" si="35"/>
        <v>łódzkie</v>
      </c>
      <c r="F203">
        <v>6</v>
      </c>
      <c r="G203" t="str">
        <f>"Szkoła Podstawowa, Rzechta 84, 98-200 Sieradz"</f>
        <v>Szkoła Podstawowa, Rzechta 84, 98-200 Sieradz</v>
      </c>
      <c r="H203">
        <v>1273</v>
      </c>
      <c r="I203">
        <v>1273</v>
      </c>
      <c r="J203">
        <v>0</v>
      </c>
      <c r="K203">
        <v>900</v>
      </c>
      <c r="L203">
        <v>656</v>
      </c>
      <c r="M203">
        <v>244</v>
      </c>
      <c r="N203">
        <v>244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244</v>
      </c>
      <c r="Z203">
        <v>0</v>
      </c>
      <c r="AA203">
        <v>0</v>
      </c>
      <c r="AB203">
        <v>244</v>
      </c>
      <c r="AC203">
        <v>8</v>
      </c>
      <c r="AD203">
        <v>236</v>
      </c>
      <c r="AE203">
        <v>9</v>
      </c>
      <c r="AF203">
        <v>3</v>
      </c>
      <c r="AG203">
        <v>1</v>
      </c>
      <c r="AH203">
        <v>1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2</v>
      </c>
      <c r="AO203">
        <v>1</v>
      </c>
      <c r="AP203">
        <v>9</v>
      </c>
      <c r="AQ203">
        <v>1</v>
      </c>
      <c r="AR203">
        <v>0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1</v>
      </c>
      <c r="BC203">
        <v>16</v>
      </c>
      <c r="BD203">
        <v>10</v>
      </c>
      <c r="BE203">
        <v>0</v>
      </c>
      <c r="BF203">
        <v>4</v>
      </c>
      <c r="BG203">
        <v>2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16</v>
      </c>
      <c r="BO203">
        <v>102</v>
      </c>
      <c r="BP203">
        <v>87</v>
      </c>
      <c r="BQ203">
        <v>4</v>
      </c>
      <c r="BR203">
        <v>0</v>
      </c>
      <c r="BS203">
        <v>7</v>
      </c>
      <c r="BT203">
        <v>1</v>
      </c>
      <c r="BU203">
        <v>0</v>
      </c>
      <c r="BV203">
        <v>2</v>
      </c>
      <c r="BW203">
        <v>0</v>
      </c>
      <c r="BX203">
        <v>0</v>
      </c>
      <c r="BY203">
        <v>1</v>
      </c>
      <c r="BZ203">
        <v>102</v>
      </c>
      <c r="CA203">
        <v>3</v>
      </c>
      <c r="CB203">
        <v>1</v>
      </c>
      <c r="CC203">
        <v>2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3</v>
      </c>
      <c r="CM203">
        <v>7</v>
      </c>
      <c r="CN203">
        <v>3</v>
      </c>
      <c r="CO203">
        <v>0</v>
      </c>
      <c r="CP203">
        <v>1</v>
      </c>
      <c r="CQ203">
        <v>0</v>
      </c>
      <c r="CR203">
        <v>1</v>
      </c>
      <c r="CS203">
        <v>0</v>
      </c>
      <c r="CT203">
        <v>1</v>
      </c>
      <c r="CU203">
        <v>0</v>
      </c>
      <c r="CV203">
        <v>0</v>
      </c>
      <c r="CW203">
        <v>1</v>
      </c>
      <c r="CX203">
        <v>7</v>
      </c>
      <c r="CY203">
        <v>9</v>
      </c>
      <c r="CZ203">
        <v>5</v>
      </c>
      <c r="DA203">
        <v>3</v>
      </c>
      <c r="DB203">
        <v>0</v>
      </c>
      <c r="DC203">
        <v>0</v>
      </c>
      <c r="DD203">
        <v>1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9</v>
      </c>
      <c r="DK203">
        <v>71</v>
      </c>
      <c r="DL203">
        <v>39</v>
      </c>
      <c r="DM203">
        <v>10</v>
      </c>
      <c r="DN203">
        <v>0</v>
      </c>
      <c r="DO203">
        <v>17</v>
      </c>
      <c r="DP203">
        <v>2</v>
      </c>
      <c r="DQ203">
        <v>0</v>
      </c>
      <c r="DR203">
        <v>1</v>
      </c>
      <c r="DS203">
        <v>0</v>
      </c>
      <c r="DT203">
        <v>2</v>
      </c>
      <c r="DU203">
        <v>0</v>
      </c>
      <c r="DV203">
        <v>71</v>
      </c>
      <c r="DW203">
        <v>13</v>
      </c>
      <c r="DX203">
        <v>4</v>
      </c>
      <c r="DY203">
        <v>0</v>
      </c>
      <c r="DZ203">
        <v>0</v>
      </c>
      <c r="EA203">
        <v>1</v>
      </c>
      <c r="EB203">
        <v>0</v>
      </c>
      <c r="EC203">
        <v>4</v>
      </c>
      <c r="ED203">
        <v>2</v>
      </c>
      <c r="EE203">
        <v>1</v>
      </c>
      <c r="EF203">
        <v>0</v>
      </c>
      <c r="EG203">
        <v>1</v>
      </c>
      <c r="EH203">
        <v>13</v>
      </c>
      <c r="EI203">
        <v>3</v>
      </c>
      <c r="EJ203">
        <v>2</v>
      </c>
      <c r="EK203">
        <v>1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3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2</v>
      </c>
      <c r="FF203">
        <v>0</v>
      </c>
      <c r="FG203">
        <v>0</v>
      </c>
      <c r="FH203">
        <v>0</v>
      </c>
      <c r="FI203">
        <v>0</v>
      </c>
      <c r="FJ203">
        <v>1</v>
      </c>
      <c r="FK203">
        <v>1</v>
      </c>
      <c r="FL203">
        <v>0</v>
      </c>
      <c r="FM203">
        <v>0</v>
      </c>
      <c r="FN203">
        <v>0</v>
      </c>
      <c r="FO203">
        <v>0</v>
      </c>
      <c r="FP203">
        <v>2</v>
      </c>
    </row>
    <row r="204" spans="1:172" ht="14.25">
      <c r="A204">
        <v>199</v>
      </c>
      <c r="B204" t="str">
        <f t="shared" si="33"/>
        <v>101408</v>
      </c>
      <c r="C204" t="str">
        <f t="shared" si="34"/>
        <v>Sieradz</v>
      </c>
      <c r="D204" t="str">
        <f t="shared" si="36"/>
        <v>sieradzki</v>
      </c>
      <c r="E204" t="str">
        <f t="shared" si="35"/>
        <v>łódzkie</v>
      </c>
      <c r="F204">
        <v>7</v>
      </c>
      <c r="G204" t="str">
        <f>"Dom Pomocy Społecznej, Biskupice 72, 98-200 Sieradz"</f>
        <v>Dom Pomocy Społecznej, Biskupice 72, 98-200 Sieradz</v>
      </c>
      <c r="H204">
        <v>43</v>
      </c>
      <c r="I204">
        <v>43</v>
      </c>
      <c r="J204">
        <v>0</v>
      </c>
      <c r="K204">
        <v>44</v>
      </c>
      <c r="L204">
        <v>25</v>
      </c>
      <c r="M204">
        <v>19</v>
      </c>
      <c r="N204">
        <v>19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19</v>
      </c>
      <c r="Z204">
        <v>0</v>
      </c>
      <c r="AA204">
        <v>0</v>
      </c>
      <c r="AB204">
        <v>19</v>
      </c>
      <c r="AC204">
        <v>4</v>
      </c>
      <c r="AD204">
        <v>15</v>
      </c>
      <c r="AE204">
        <v>3</v>
      </c>
      <c r="AF204">
        <v>3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3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1</v>
      </c>
      <c r="BD204">
        <v>0</v>
      </c>
      <c r="BE204">
        <v>0</v>
      </c>
      <c r="BF204">
        <v>1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5</v>
      </c>
      <c r="BP204">
        <v>1</v>
      </c>
      <c r="BQ204">
        <v>2</v>
      </c>
      <c r="BR204">
        <v>0</v>
      </c>
      <c r="BS204">
        <v>1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1</v>
      </c>
      <c r="BZ204">
        <v>5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1</v>
      </c>
      <c r="CL204">
        <v>1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2</v>
      </c>
      <c r="CZ204">
        <v>1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1</v>
      </c>
      <c r="DJ204">
        <v>2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1</v>
      </c>
      <c r="DX204">
        <v>1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1</v>
      </c>
      <c r="EI204">
        <v>1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1</v>
      </c>
      <c r="EP204">
        <v>0</v>
      </c>
      <c r="EQ204">
        <v>0</v>
      </c>
      <c r="ER204">
        <v>1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1</v>
      </c>
      <c r="FN204">
        <v>0</v>
      </c>
      <c r="FO204">
        <v>0</v>
      </c>
      <c r="FP204">
        <v>1</v>
      </c>
    </row>
    <row r="205" spans="1:172" ht="14.25">
      <c r="A205">
        <v>200</v>
      </c>
      <c r="B205" t="str">
        <f aca="true" t="shared" si="37" ref="B205:B215">"101409"</f>
        <v>101409</v>
      </c>
      <c r="C205" t="str">
        <f aca="true" t="shared" si="38" ref="C205:C215">"Warta"</f>
        <v>Warta</v>
      </c>
      <c r="D205" t="str">
        <f t="shared" si="36"/>
        <v>sieradzki</v>
      </c>
      <c r="E205" t="str">
        <f t="shared" si="35"/>
        <v>łódzkie</v>
      </c>
      <c r="F205">
        <v>1</v>
      </c>
      <c r="G205" t="str">
        <f>"Publiczne Gimnazjum, Świętojańska 5 /sala A/, 98-290 Warta"</f>
        <v>Publiczne Gimnazjum, Świętojańska 5 /sala A/, 98-290 Warta</v>
      </c>
      <c r="H205">
        <v>1342</v>
      </c>
      <c r="I205">
        <v>1342</v>
      </c>
      <c r="J205">
        <v>0</v>
      </c>
      <c r="K205">
        <v>940</v>
      </c>
      <c r="L205">
        <v>633</v>
      </c>
      <c r="M205">
        <v>307</v>
      </c>
      <c r="N205">
        <v>307</v>
      </c>
      <c r="O205">
        <v>0</v>
      </c>
      <c r="P205">
        <v>0</v>
      </c>
      <c r="Q205">
        <v>3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307</v>
      </c>
      <c r="Z205">
        <v>0</v>
      </c>
      <c r="AA205">
        <v>0</v>
      </c>
      <c r="AB205">
        <v>307</v>
      </c>
      <c r="AC205">
        <v>17</v>
      </c>
      <c r="AD205">
        <v>290</v>
      </c>
      <c r="AE205">
        <v>9</v>
      </c>
      <c r="AF205">
        <v>1</v>
      </c>
      <c r="AG205">
        <v>1</v>
      </c>
      <c r="AH205">
        <v>1</v>
      </c>
      <c r="AI205">
        <v>2</v>
      </c>
      <c r="AJ205">
        <v>1</v>
      </c>
      <c r="AK205">
        <v>1</v>
      </c>
      <c r="AL205">
        <v>0</v>
      </c>
      <c r="AM205">
        <v>0</v>
      </c>
      <c r="AN205">
        <v>2</v>
      </c>
      <c r="AO205">
        <v>0</v>
      </c>
      <c r="AP205">
        <v>9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33</v>
      </c>
      <c r="BD205">
        <v>15</v>
      </c>
      <c r="BE205">
        <v>3</v>
      </c>
      <c r="BF205">
        <v>8</v>
      </c>
      <c r="BG205">
        <v>0</v>
      </c>
      <c r="BH205">
        <v>1</v>
      </c>
      <c r="BI205">
        <v>1</v>
      </c>
      <c r="BJ205">
        <v>1</v>
      </c>
      <c r="BK205">
        <v>0</v>
      </c>
      <c r="BL205">
        <v>2</v>
      </c>
      <c r="BM205">
        <v>2</v>
      </c>
      <c r="BN205">
        <v>33</v>
      </c>
      <c r="BO205">
        <v>131</v>
      </c>
      <c r="BP205">
        <v>42</v>
      </c>
      <c r="BQ205">
        <v>14</v>
      </c>
      <c r="BR205">
        <v>8</v>
      </c>
      <c r="BS205">
        <v>51</v>
      </c>
      <c r="BT205">
        <v>5</v>
      </c>
      <c r="BU205">
        <v>2</v>
      </c>
      <c r="BV205">
        <v>0</v>
      </c>
      <c r="BW205">
        <v>0</v>
      </c>
      <c r="BX205">
        <v>1</v>
      </c>
      <c r="BY205">
        <v>8</v>
      </c>
      <c r="BZ205">
        <v>131</v>
      </c>
      <c r="CA205">
        <v>4</v>
      </c>
      <c r="CB205">
        <v>3</v>
      </c>
      <c r="CC205">
        <v>1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4</v>
      </c>
      <c r="CM205">
        <v>7</v>
      </c>
      <c r="CN205">
        <v>5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1</v>
      </c>
      <c r="CW205">
        <v>1</v>
      </c>
      <c r="CX205">
        <v>7</v>
      </c>
      <c r="CY205">
        <v>12</v>
      </c>
      <c r="CZ205">
        <v>6</v>
      </c>
      <c r="DA205">
        <v>0</v>
      </c>
      <c r="DB205">
        <v>0</v>
      </c>
      <c r="DC205">
        <v>0</v>
      </c>
      <c r="DD205">
        <v>4</v>
      </c>
      <c r="DE205">
        <v>1</v>
      </c>
      <c r="DF205">
        <v>0</v>
      </c>
      <c r="DG205">
        <v>0</v>
      </c>
      <c r="DH205">
        <v>0</v>
      </c>
      <c r="DI205">
        <v>1</v>
      </c>
      <c r="DJ205">
        <v>12</v>
      </c>
      <c r="DK205">
        <v>77</v>
      </c>
      <c r="DL205">
        <v>43</v>
      </c>
      <c r="DM205">
        <v>16</v>
      </c>
      <c r="DN205">
        <v>0</v>
      </c>
      <c r="DO205">
        <v>16</v>
      </c>
      <c r="DP205">
        <v>0</v>
      </c>
      <c r="DQ205">
        <v>0</v>
      </c>
      <c r="DR205">
        <v>0</v>
      </c>
      <c r="DS205">
        <v>1</v>
      </c>
      <c r="DT205">
        <v>0</v>
      </c>
      <c r="DU205">
        <v>1</v>
      </c>
      <c r="DV205">
        <v>77</v>
      </c>
      <c r="DW205">
        <v>13</v>
      </c>
      <c r="DX205">
        <v>1</v>
      </c>
      <c r="DY205">
        <v>2</v>
      </c>
      <c r="DZ205">
        <v>0</v>
      </c>
      <c r="EA205">
        <v>4</v>
      </c>
      <c r="EB205">
        <v>0</v>
      </c>
      <c r="EC205">
        <v>1</v>
      </c>
      <c r="ED205">
        <v>1</v>
      </c>
      <c r="EE205">
        <v>3</v>
      </c>
      <c r="EF205">
        <v>1</v>
      </c>
      <c r="EG205">
        <v>0</v>
      </c>
      <c r="EH205">
        <v>13</v>
      </c>
      <c r="EI205">
        <v>1</v>
      </c>
      <c r="EJ205">
        <v>0</v>
      </c>
      <c r="EK205">
        <v>1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1</v>
      </c>
      <c r="ES205">
        <v>1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1</v>
      </c>
      <c r="FD205">
        <v>1</v>
      </c>
      <c r="FE205">
        <v>2</v>
      </c>
      <c r="FF205">
        <v>0</v>
      </c>
      <c r="FG205">
        <v>1</v>
      </c>
      <c r="FH205">
        <v>0</v>
      </c>
      <c r="FI205">
        <v>0</v>
      </c>
      <c r="FJ205">
        <v>1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2</v>
      </c>
    </row>
    <row r="206" spans="1:172" ht="14.25">
      <c r="A206">
        <v>201</v>
      </c>
      <c r="B206" t="str">
        <f t="shared" si="37"/>
        <v>101409</v>
      </c>
      <c r="C206" t="str">
        <f t="shared" si="38"/>
        <v>Warta</v>
      </c>
      <c r="D206" t="str">
        <f t="shared" si="36"/>
        <v>sieradzki</v>
      </c>
      <c r="E206" t="str">
        <f t="shared" si="35"/>
        <v>łódzkie</v>
      </c>
      <c r="F206">
        <v>2</v>
      </c>
      <c r="G206" t="str">
        <f>"Publiczne Gimnazjum, Świętojańska 5 /sala B/, 98-290 Warta"</f>
        <v>Publiczne Gimnazjum, Świętojańska 5 /sala B/, 98-290 Warta</v>
      </c>
      <c r="H206">
        <v>1347</v>
      </c>
      <c r="I206">
        <v>1347</v>
      </c>
      <c r="J206">
        <v>0</v>
      </c>
      <c r="K206">
        <v>950</v>
      </c>
      <c r="L206">
        <v>583</v>
      </c>
      <c r="M206">
        <v>367</v>
      </c>
      <c r="N206">
        <v>367</v>
      </c>
      <c r="O206">
        <v>0</v>
      </c>
      <c r="P206">
        <v>0</v>
      </c>
      <c r="Q206">
        <v>3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367</v>
      </c>
      <c r="Z206">
        <v>0</v>
      </c>
      <c r="AA206">
        <v>0</v>
      </c>
      <c r="AB206">
        <v>367</v>
      </c>
      <c r="AC206">
        <v>28</v>
      </c>
      <c r="AD206">
        <v>339</v>
      </c>
      <c r="AE206">
        <v>7</v>
      </c>
      <c r="AF206">
        <v>2</v>
      </c>
      <c r="AG206">
        <v>1</v>
      </c>
      <c r="AH206">
        <v>2</v>
      </c>
      <c r="AI206">
        <v>0</v>
      </c>
      <c r="AJ206">
        <v>0</v>
      </c>
      <c r="AK206">
        <v>0</v>
      </c>
      <c r="AL206">
        <v>1</v>
      </c>
      <c r="AM206">
        <v>0</v>
      </c>
      <c r="AN206">
        <v>1</v>
      </c>
      <c r="AO206">
        <v>0</v>
      </c>
      <c r="AP206">
        <v>7</v>
      </c>
      <c r="AQ206">
        <v>3</v>
      </c>
      <c r="AR206">
        <v>1</v>
      </c>
      <c r="AS206">
        <v>1</v>
      </c>
      <c r="AT206">
        <v>0</v>
      </c>
      <c r="AU206">
        <v>1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3</v>
      </c>
      <c r="BC206">
        <v>20</v>
      </c>
      <c r="BD206">
        <v>5</v>
      </c>
      <c r="BE206">
        <v>4</v>
      </c>
      <c r="BF206">
        <v>10</v>
      </c>
      <c r="BG206">
        <v>1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20</v>
      </c>
      <c r="BO206">
        <v>187</v>
      </c>
      <c r="BP206">
        <v>87</v>
      </c>
      <c r="BQ206">
        <v>13</v>
      </c>
      <c r="BR206">
        <v>4</v>
      </c>
      <c r="BS206">
        <v>72</v>
      </c>
      <c r="BT206">
        <v>2</v>
      </c>
      <c r="BU206">
        <v>1</v>
      </c>
      <c r="BV206">
        <v>3</v>
      </c>
      <c r="BW206">
        <v>0</v>
      </c>
      <c r="BX206">
        <v>0</v>
      </c>
      <c r="BY206">
        <v>5</v>
      </c>
      <c r="BZ206">
        <v>187</v>
      </c>
      <c r="CA206">
        <v>14</v>
      </c>
      <c r="CB206">
        <v>4</v>
      </c>
      <c r="CC206">
        <v>3</v>
      </c>
      <c r="CD206">
        <v>0</v>
      </c>
      <c r="CE206">
        <v>1</v>
      </c>
      <c r="CF206">
        <v>0</v>
      </c>
      <c r="CG206">
        <v>0</v>
      </c>
      <c r="CH206">
        <v>2</v>
      </c>
      <c r="CI206">
        <v>1</v>
      </c>
      <c r="CJ206">
        <v>0</v>
      </c>
      <c r="CK206">
        <v>3</v>
      </c>
      <c r="CL206">
        <v>14</v>
      </c>
      <c r="CM206">
        <v>6</v>
      </c>
      <c r="CN206">
        <v>6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6</v>
      </c>
      <c r="CY206">
        <v>12</v>
      </c>
      <c r="CZ206">
        <v>10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1</v>
      </c>
      <c r="DG206">
        <v>1</v>
      </c>
      <c r="DH206">
        <v>0</v>
      </c>
      <c r="DI206">
        <v>0</v>
      </c>
      <c r="DJ206">
        <v>12</v>
      </c>
      <c r="DK206">
        <v>61</v>
      </c>
      <c r="DL206">
        <v>33</v>
      </c>
      <c r="DM206">
        <v>12</v>
      </c>
      <c r="DN206">
        <v>1</v>
      </c>
      <c r="DO206">
        <v>8</v>
      </c>
      <c r="DP206">
        <v>0</v>
      </c>
      <c r="DQ206">
        <v>1</v>
      </c>
      <c r="DR206">
        <v>3</v>
      </c>
      <c r="DS206">
        <v>1</v>
      </c>
      <c r="DT206">
        <v>1</v>
      </c>
      <c r="DU206">
        <v>1</v>
      </c>
      <c r="DV206">
        <v>61</v>
      </c>
      <c r="DW206">
        <v>27</v>
      </c>
      <c r="DX206">
        <v>6</v>
      </c>
      <c r="DY206">
        <v>1</v>
      </c>
      <c r="DZ206">
        <v>0</v>
      </c>
      <c r="EA206">
        <v>10</v>
      </c>
      <c r="EB206">
        <v>0</v>
      </c>
      <c r="EC206">
        <v>6</v>
      </c>
      <c r="ED206">
        <v>1</v>
      </c>
      <c r="EE206">
        <v>2</v>
      </c>
      <c r="EF206">
        <v>0</v>
      </c>
      <c r="EG206">
        <v>1</v>
      </c>
      <c r="EH206">
        <v>27</v>
      </c>
      <c r="EI206">
        <v>1</v>
      </c>
      <c r="EJ206">
        <v>0</v>
      </c>
      <c r="EK206">
        <v>1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1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1</v>
      </c>
      <c r="FF206">
        <v>1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1</v>
      </c>
    </row>
    <row r="207" spans="1:172" ht="14.25">
      <c r="A207">
        <v>202</v>
      </c>
      <c r="B207" t="str">
        <f t="shared" si="37"/>
        <v>101409</v>
      </c>
      <c r="C207" t="str">
        <f t="shared" si="38"/>
        <v>Warta</v>
      </c>
      <c r="D207" t="str">
        <f t="shared" si="36"/>
        <v>sieradzki</v>
      </c>
      <c r="E207" t="str">
        <f t="shared" si="35"/>
        <v>łódzkie</v>
      </c>
      <c r="F207">
        <v>3</v>
      </c>
      <c r="G207" t="str">
        <f>"Dom Ludowy, Małków 75, 98-290 Warta"</f>
        <v>Dom Ludowy, Małków 75, 98-290 Warta</v>
      </c>
      <c r="H207">
        <v>773</v>
      </c>
      <c r="I207">
        <v>773</v>
      </c>
      <c r="J207">
        <v>0</v>
      </c>
      <c r="K207">
        <v>540</v>
      </c>
      <c r="L207">
        <v>404</v>
      </c>
      <c r="M207">
        <v>136</v>
      </c>
      <c r="N207">
        <v>136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136</v>
      </c>
      <c r="Z207">
        <v>0</v>
      </c>
      <c r="AA207">
        <v>0</v>
      </c>
      <c r="AB207">
        <v>136</v>
      </c>
      <c r="AC207">
        <v>7</v>
      </c>
      <c r="AD207">
        <v>129</v>
      </c>
      <c r="AE207">
        <v>7</v>
      </c>
      <c r="AF207">
        <v>3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3</v>
      </c>
      <c r="AP207">
        <v>7</v>
      </c>
      <c r="AQ207">
        <v>1</v>
      </c>
      <c r="AR207">
        <v>0</v>
      </c>
      <c r="AS207">
        <v>0</v>
      </c>
      <c r="AT207">
        <v>0</v>
      </c>
      <c r="AU207">
        <v>1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1</v>
      </c>
      <c r="BC207">
        <v>3</v>
      </c>
      <c r="BD207">
        <v>1</v>
      </c>
      <c r="BE207">
        <v>0</v>
      </c>
      <c r="BF207">
        <v>2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3</v>
      </c>
      <c r="BO207">
        <v>81</v>
      </c>
      <c r="BP207">
        <v>34</v>
      </c>
      <c r="BQ207">
        <v>1</v>
      </c>
      <c r="BR207">
        <v>0</v>
      </c>
      <c r="BS207">
        <v>46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81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1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4</v>
      </c>
      <c r="CZ207">
        <v>3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1</v>
      </c>
      <c r="DH207">
        <v>0</v>
      </c>
      <c r="DI207">
        <v>0</v>
      </c>
      <c r="DJ207">
        <v>4</v>
      </c>
      <c r="DK207">
        <v>15</v>
      </c>
      <c r="DL207">
        <v>8</v>
      </c>
      <c r="DM207">
        <v>1</v>
      </c>
      <c r="DN207">
        <v>0</v>
      </c>
      <c r="DO207">
        <v>6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15</v>
      </c>
      <c r="DW207">
        <v>17</v>
      </c>
      <c r="DX207">
        <v>11</v>
      </c>
      <c r="DY207">
        <v>0</v>
      </c>
      <c r="DZ207">
        <v>0</v>
      </c>
      <c r="EA207">
        <v>1</v>
      </c>
      <c r="EB207">
        <v>1</v>
      </c>
      <c r="EC207">
        <v>2</v>
      </c>
      <c r="ED207">
        <v>2</v>
      </c>
      <c r="EE207">
        <v>0</v>
      </c>
      <c r="EF207">
        <v>0</v>
      </c>
      <c r="EG207">
        <v>0</v>
      </c>
      <c r="EH207">
        <v>17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</row>
    <row r="208" spans="1:172" ht="14.25">
      <c r="A208">
        <v>203</v>
      </c>
      <c r="B208" t="str">
        <f t="shared" si="37"/>
        <v>101409</v>
      </c>
      <c r="C208" t="str">
        <f t="shared" si="38"/>
        <v>Warta</v>
      </c>
      <c r="D208" t="str">
        <f t="shared" si="36"/>
        <v>sieradzki</v>
      </c>
      <c r="E208" t="str">
        <f t="shared" si="35"/>
        <v>łódzkie</v>
      </c>
      <c r="F208">
        <v>4</v>
      </c>
      <c r="G208" t="str">
        <f>"Szkoła Podstawowa, Jakubice 15, 98-290 Warta"</f>
        <v>Szkoła Podstawowa, Jakubice 15, 98-290 Warta</v>
      </c>
      <c r="H208">
        <v>704</v>
      </c>
      <c r="I208">
        <v>704</v>
      </c>
      <c r="J208">
        <v>0</v>
      </c>
      <c r="K208">
        <v>500</v>
      </c>
      <c r="L208">
        <v>383</v>
      </c>
      <c r="M208">
        <v>117</v>
      </c>
      <c r="N208">
        <v>117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117</v>
      </c>
      <c r="Z208">
        <v>0</v>
      </c>
      <c r="AA208">
        <v>0</v>
      </c>
      <c r="AB208">
        <v>117</v>
      </c>
      <c r="AC208">
        <v>1</v>
      </c>
      <c r="AD208">
        <v>116</v>
      </c>
      <c r="AE208">
        <v>2</v>
      </c>
      <c r="AF208">
        <v>1</v>
      </c>
      <c r="AG208">
        <v>0</v>
      </c>
      <c r="AH208">
        <v>1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2</v>
      </c>
      <c r="AQ208">
        <v>1</v>
      </c>
      <c r="AR208">
        <v>1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1</v>
      </c>
      <c r="BC208">
        <v>6</v>
      </c>
      <c r="BD208">
        <v>3</v>
      </c>
      <c r="BE208">
        <v>0</v>
      </c>
      <c r="BF208">
        <v>1</v>
      </c>
      <c r="BG208">
        <v>1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1</v>
      </c>
      <c r="BN208">
        <v>6</v>
      </c>
      <c r="BO208">
        <v>80</v>
      </c>
      <c r="BP208">
        <v>62</v>
      </c>
      <c r="BQ208">
        <v>4</v>
      </c>
      <c r="BR208">
        <v>0</v>
      </c>
      <c r="BS208">
        <v>13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1</v>
      </c>
      <c r="BZ208">
        <v>80</v>
      </c>
      <c r="CA208">
        <v>1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1</v>
      </c>
      <c r="CL208">
        <v>1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13</v>
      </c>
      <c r="CZ208">
        <v>7</v>
      </c>
      <c r="DA208">
        <v>1</v>
      </c>
      <c r="DB208">
        <v>1</v>
      </c>
      <c r="DC208">
        <v>2</v>
      </c>
      <c r="DD208">
        <v>1</v>
      </c>
      <c r="DE208">
        <v>0</v>
      </c>
      <c r="DF208">
        <v>0</v>
      </c>
      <c r="DG208">
        <v>0</v>
      </c>
      <c r="DH208">
        <v>1</v>
      </c>
      <c r="DI208">
        <v>0</v>
      </c>
      <c r="DJ208">
        <v>13</v>
      </c>
      <c r="DK208">
        <v>5</v>
      </c>
      <c r="DL208">
        <v>3</v>
      </c>
      <c r="DM208">
        <v>0</v>
      </c>
      <c r="DN208">
        <v>0</v>
      </c>
      <c r="DO208">
        <v>2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5</v>
      </c>
      <c r="DW208">
        <v>8</v>
      </c>
      <c r="DX208">
        <v>1</v>
      </c>
      <c r="DY208">
        <v>1</v>
      </c>
      <c r="DZ208">
        <v>0</v>
      </c>
      <c r="EA208">
        <v>5</v>
      </c>
      <c r="EB208">
        <v>1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8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</row>
    <row r="209" spans="1:172" ht="14.25">
      <c r="A209">
        <v>204</v>
      </c>
      <c r="B209" t="str">
        <f t="shared" si="37"/>
        <v>101409</v>
      </c>
      <c r="C209" t="str">
        <f t="shared" si="38"/>
        <v>Warta</v>
      </c>
      <c r="D209" t="str">
        <f t="shared" si="36"/>
        <v>sieradzki</v>
      </c>
      <c r="E209" t="str">
        <f t="shared" si="35"/>
        <v>łódzkie</v>
      </c>
      <c r="F209">
        <v>5</v>
      </c>
      <c r="G209" t="str">
        <f>"Szkoła Podstawowa, Cielce 16, 98-290 Warta"</f>
        <v>Szkoła Podstawowa, Cielce 16, 98-290 Warta</v>
      </c>
      <c r="H209">
        <v>1148</v>
      </c>
      <c r="I209">
        <v>1148</v>
      </c>
      <c r="J209">
        <v>0</v>
      </c>
      <c r="K209">
        <v>800</v>
      </c>
      <c r="L209">
        <v>650</v>
      </c>
      <c r="M209">
        <v>150</v>
      </c>
      <c r="N209">
        <v>150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150</v>
      </c>
      <c r="Z209">
        <v>0</v>
      </c>
      <c r="AA209">
        <v>0</v>
      </c>
      <c r="AB209">
        <v>150</v>
      </c>
      <c r="AC209">
        <v>3</v>
      </c>
      <c r="AD209">
        <v>147</v>
      </c>
      <c r="AE209">
        <v>11</v>
      </c>
      <c r="AF209">
        <v>10</v>
      </c>
      <c r="AG209">
        <v>0</v>
      </c>
      <c r="AH209">
        <v>0</v>
      </c>
      <c r="AI209">
        <v>0</v>
      </c>
      <c r="AJ209">
        <v>0</v>
      </c>
      <c r="AK209">
        <v>1</v>
      </c>
      <c r="AL209">
        <v>0</v>
      </c>
      <c r="AM209">
        <v>0</v>
      </c>
      <c r="AN209">
        <v>0</v>
      </c>
      <c r="AO209">
        <v>0</v>
      </c>
      <c r="AP209">
        <v>11</v>
      </c>
      <c r="AQ209">
        <v>2</v>
      </c>
      <c r="AR209">
        <v>1</v>
      </c>
      <c r="AS209">
        <v>0</v>
      </c>
      <c r="AT209">
        <v>0</v>
      </c>
      <c r="AU209">
        <v>1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2</v>
      </c>
      <c r="BC209">
        <v>8</v>
      </c>
      <c r="BD209">
        <v>2</v>
      </c>
      <c r="BE209">
        <v>0</v>
      </c>
      <c r="BF209">
        <v>4</v>
      </c>
      <c r="BG209">
        <v>0</v>
      </c>
      <c r="BH209">
        <v>0</v>
      </c>
      <c r="BI209">
        <v>1</v>
      </c>
      <c r="BJ209">
        <v>0</v>
      </c>
      <c r="BK209">
        <v>0</v>
      </c>
      <c r="BL209">
        <v>0</v>
      </c>
      <c r="BM209">
        <v>1</v>
      </c>
      <c r="BN209">
        <v>8</v>
      </c>
      <c r="BO209">
        <v>72</v>
      </c>
      <c r="BP209">
        <v>44</v>
      </c>
      <c r="BQ209">
        <v>1</v>
      </c>
      <c r="BR209">
        <v>0</v>
      </c>
      <c r="BS209">
        <v>25</v>
      </c>
      <c r="BT209">
        <v>0</v>
      </c>
      <c r="BU209">
        <v>0</v>
      </c>
      <c r="BV209">
        <v>1</v>
      </c>
      <c r="BW209">
        <v>0</v>
      </c>
      <c r="BX209">
        <v>1</v>
      </c>
      <c r="BY209">
        <v>0</v>
      </c>
      <c r="BZ209">
        <v>72</v>
      </c>
      <c r="CA209">
        <v>1</v>
      </c>
      <c r="CB209">
        <v>1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1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8</v>
      </c>
      <c r="CZ209">
        <v>3</v>
      </c>
      <c r="DA209">
        <v>0</v>
      </c>
      <c r="DB209">
        <v>1</v>
      </c>
      <c r="DC209">
        <v>0</v>
      </c>
      <c r="DD209">
        <v>1</v>
      </c>
      <c r="DE209">
        <v>0</v>
      </c>
      <c r="DF209">
        <v>1</v>
      </c>
      <c r="DG209">
        <v>0</v>
      </c>
      <c r="DH209">
        <v>2</v>
      </c>
      <c r="DI209">
        <v>0</v>
      </c>
      <c r="DJ209">
        <v>8</v>
      </c>
      <c r="DK209">
        <v>6</v>
      </c>
      <c r="DL209">
        <v>4</v>
      </c>
      <c r="DM209">
        <v>2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6</v>
      </c>
      <c r="DW209">
        <v>38</v>
      </c>
      <c r="DX209">
        <v>4</v>
      </c>
      <c r="DY209">
        <v>3</v>
      </c>
      <c r="DZ209">
        <v>0</v>
      </c>
      <c r="EA209">
        <v>6</v>
      </c>
      <c r="EB209">
        <v>1</v>
      </c>
      <c r="EC209">
        <v>0</v>
      </c>
      <c r="ED209">
        <v>1</v>
      </c>
      <c r="EE209">
        <v>23</v>
      </c>
      <c r="EF209">
        <v>0</v>
      </c>
      <c r="EG209">
        <v>0</v>
      </c>
      <c r="EH209">
        <v>38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</row>
    <row r="210" spans="1:172" ht="14.25">
      <c r="A210">
        <v>205</v>
      </c>
      <c r="B210" t="str">
        <f t="shared" si="37"/>
        <v>101409</v>
      </c>
      <c r="C210" t="str">
        <f t="shared" si="38"/>
        <v>Warta</v>
      </c>
      <c r="D210" t="str">
        <f t="shared" si="36"/>
        <v>sieradzki</v>
      </c>
      <c r="E210" t="str">
        <f t="shared" si="35"/>
        <v>łódzkie</v>
      </c>
      <c r="F210">
        <v>6</v>
      </c>
      <c r="G210" t="str">
        <f>"Szkoła Podstawowa, Jeziorsko 46, 98-290 Warta"</f>
        <v>Szkoła Podstawowa, Jeziorsko 46, 98-290 Warta</v>
      </c>
      <c r="H210">
        <v>767</v>
      </c>
      <c r="I210">
        <v>767</v>
      </c>
      <c r="J210">
        <v>0</v>
      </c>
      <c r="K210">
        <v>540</v>
      </c>
      <c r="L210">
        <v>418</v>
      </c>
      <c r="M210">
        <v>122</v>
      </c>
      <c r="N210">
        <v>122</v>
      </c>
      <c r="O210">
        <v>0</v>
      </c>
      <c r="P210">
        <v>0</v>
      </c>
      <c r="Q210">
        <v>3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122</v>
      </c>
      <c r="Z210">
        <v>0</v>
      </c>
      <c r="AA210">
        <v>0</v>
      </c>
      <c r="AB210">
        <v>122</v>
      </c>
      <c r="AC210">
        <v>2</v>
      </c>
      <c r="AD210">
        <v>120</v>
      </c>
      <c r="AE210">
        <v>2</v>
      </c>
      <c r="AF210">
        <v>1</v>
      </c>
      <c r="AG210">
        <v>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2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19</v>
      </c>
      <c r="BD210">
        <v>3</v>
      </c>
      <c r="BE210">
        <v>6</v>
      </c>
      <c r="BF210">
        <v>10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19</v>
      </c>
      <c r="BO210">
        <v>60</v>
      </c>
      <c r="BP210">
        <v>38</v>
      </c>
      <c r="BQ210">
        <v>2</v>
      </c>
      <c r="BR210">
        <v>1</v>
      </c>
      <c r="BS210">
        <v>15</v>
      </c>
      <c r="BT210">
        <v>0</v>
      </c>
      <c r="BU210">
        <v>0</v>
      </c>
      <c r="BV210">
        <v>2</v>
      </c>
      <c r="BW210">
        <v>2</v>
      </c>
      <c r="BX210">
        <v>0</v>
      </c>
      <c r="BY210">
        <v>0</v>
      </c>
      <c r="BZ210">
        <v>60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6</v>
      </c>
      <c r="CN210">
        <v>2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2</v>
      </c>
      <c r="CX210">
        <v>6</v>
      </c>
      <c r="CY210">
        <v>10</v>
      </c>
      <c r="CZ210">
        <v>5</v>
      </c>
      <c r="DA210">
        <v>0</v>
      </c>
      <c r="DB210">
        <v>0</v>
      </c>
      <c r="DC210">
        <v>1</v>
      </c>
      <c r="DD210">
        <v>0</v>
      </c>
      <c r="DE210">
        <v>1</v>
      </c>
      <c r="DF210">
        <v>2</v>
      </c>
      <c r="DG210">
        <v>0</v>
      </c>
      <c r="DH210">
        <v>1</v>
      </c>
      <c r="DI210">
        <v>0</v>
      </c>
      <c r="DJ210">
        <v>10</v>
      </c>
      <c r="DK210">
        <v>14</v>
      </c>
      <c r="DL210">
        <v>9</v>
      </c>
      <c r="DM210">
        <v>2</v>
      </c>
      <c r="DN210">
        <v>0</v>
      </c>
      <c r="DO210">
        <v>3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14</v>
      </c>
      <c r="DW210">
        <v>8</v>
      </c>
      <c r="DX210">
        <v>3</v>
      </c>
      <c r="DY210">
        <v>0</v>
      </c>
      <c r="DZ210">
        <v>0</v>
      </c>
      <c r="EA210">
        <v>0</v>
      </c>
      <c r="EB210">
        <v>0</v>
      </c>
      <c r="EC210">
        <v>1</v>
      </c>
      <c r="ED210">
        <v>4</v>
      </c>
      <c r="EE210">
        <v>0</v>
      </c>
      <c r="EF210">
        <v>0</v>
      </c>
      <c r="EG210">
        <v>0</v>
      </c>
      <c r="EH210">
        <v>8</v>
      </c>
      <c r="EI210">
        <v>1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1</v>
      </c>
      <c r="ER210">
        <v>1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</row>
    <row r="211" spans="1:172" ht="14.25">
      <c r="A211">
        <v>206</v>
      </c>
      <c r="B211" t="str">
        <f t="shared" si="37"/>
        <v>101409</v>
      </c>
      <c r="C211" t="str">
        <f t="shared" si="38"/>
        <v>Warta</v>
      </c>
      <c r="D211" t="str">
        <f t="shared" si="36"/>
        <v>sieradzki</v>
      </c>
      <c r="E211" t="str">
        <f t="shared" si="35"/>
        <v>łódzkie</v>
      </c>
      <c r="F211">
        <v>7</v>
      </c>
      <c r="G211" t="str">
        <f>"Szkoła Podstawowa, Ustków 26, 98-290 Warta"</f>
        <v>Szkoła Podstawowa, Ustków 26, 98-290 Warta</v>
      </c>
      <c r="H211">
        <v>690</v>
      </c>
      <c r="I211">
        <v>690</v>
      </c>
      <c r="J211">
        <v>0</v>
      </c>
      <c r="K211">
        <v>480</v>
      </c>
      <c r="L211">
        <v>393</v>
      </c>
      <c r="M211">
        <v>87</v>
      </c>
      <c r="N211">
        <v>87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87</v>
      </c>
      <c r="Z211">
        <v>0</v>
      </c>
      <c r="AA211">
        <v>0</v>
      </c>
      <c r="AB211">
        <v>87</v>
      </c>
      <c r="AC211">
        <v>5</v>
      </c>
      <c r="AD211">
        <v>82</v>
      </c>
      <c r="AE211">
        <v>1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8</v>
      </c>
      <c r="BD211">
        <v>1</v>
      </c>
      <c r="BE211">
        <v>2</v>
      </c>
      <c r="BF211">
        <v>5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8</v>
      </c>
      <c r="BO211">
        <v>40</v>
      </c>
      <c r="BP211">
        <v>15</v>
      </c>
      <c r="BQ211">
        <v>1</v>
      </c>
      <c r="BR211">
        <v>0</v>
      </c>
      <c r="BS211">
        <v>19</v>
      </c>
      <c r="BT211">
        <v>0</v>
      </c>
      <c r="BU211">
        <v>1</v>
      </c>
      <c r="BV211">
        <v>0</v>
      </c>
      <c r="BW211">
        <v>0</v>
      </c>
      <c r="BX211">
        <v>4</v>
      </c>
      <c r="BY211">
        <v>0</v>
      </c>
      <c r="BZ211">
        <v>40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5</v>
      </c>
      <c r="CZ211">
        <v>3</v>
      </c>
      <c r="DA211">
        <v>0</v>
      </c>
      <c r="DB211">
        <v>1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5</v>
      </c>
      <c r="DK211">
        <v>11</v>
      </c>
      <c r="DL211">
        <v>6</v>
      </c>
      <c r="DM211">
        <v>1</v>
      </c>
      <c r="DN211">
        <v>0</v>
      </c>
      <c r="DO211">
        <v>1</v>
      </c>
      <c r="DP211">
        <v>1</v>
      </c>
      <c r="DQ211">
        <v>1</v>
      </c>
      <c r="DR211">
        <v>0</v>
      </c>
      <c r="DS211">
        <v>1</v>
      </c>
      <c r="DT211">
        <v>0</v>
      </c>
      <c r="DU211">
        <v>0</v>
      </c>
      <c r="DV211">
        <v>11</v>
      </c>
      <c r="DW211">
        <v>15</v>
      </c>
      <c r="DX211">
        <v>8</v>
      </c>
      <c r="DY211">
        <v>0</v>
      </c>
      <c r="DZ211">
        <v>0</v>
      </c>
      <c r="EA211">
        <v>1</v>
      </c>
      <c r="EB211">
        <v>0</v>
      </c>
      <c r="EC211">
        <v>0</v>
      </c>
      <c r="ED211">
        <v>3</v>
      </c>
      <c r="EE211">
        <v>1</v>
      </c>
      <c r="EF211">
        <v>1</v>
      </c>
      <c r="EG211">
        <v>1</v>
      </c>
      <c r="EH211">
        <v>15</v>
      </c>
      <c r="EI211">
        <v>1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1</v>
      </c>
      <c r="EQ211">
        <v>0</v>
      </c>
      <c r="ER211">
        <v>1</v>
      </c>
      <c r="ES211">
        <v>1</v>
      </c>
      <c r="ET211">
        <v>0</v>
      </c>
      <c r="EU211">
        <v>1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</row>
    <row r="212" spans="1:172" ht="14.25">
      <c r="A212">
        <v>207</v>
      </c>
      <c r="B212" t="str">
        <f t="shared" si="37"/>
        <v>101409</v>
      </c>
      <c r="C212" t="str">
        <f t="shared" si="38"/>
        <v>Warta</v>
      </c>
      <c r="D212" t="str">
        <f t="shared" si="36"/>
        <v>sieradzki</v>
      </c>
      <c r="E212" t="str">
        <f t="shared" si="35"/>
        <v>łódzkie</v>
      </c>
      <c r="F212">
        <v>8</v>
      </c>
      <c r="G212" t="str">
        <f>"Remiza OSP, Proboszczowice 35A, 98-290 Warta"</f>
        <v>Remiza OSP, Proboszczowice 35A, 98-290 Warta</v>
      </c>
      <c r="H212">
        <v>687</v>
      </c>
      <c r="I212">
        <v>687</v>
      </c>
      <c r="J212">
        <v>0</v>
      </c>
      <c r="K212">
        <v>480</v>
      </c>
      <c r="L212">
        <v>341</v>
      </c>
      <c r="M212">
        <v>139</v>
      </c>
      <c r="N212">
        <v>139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139</v>
      </c>
      <c r="Z212">
        <v>0</v>
      </c>
      <c r="AA212">
        <v>0</v>
      </c>
      <c r="AB212">
        <v>139</v>
      </c>
      <c r="AC212">
        <v>4</v>
      </c>
      <c r="AD212">
        <v>135</v>
      </c>
      <c r="AE212">
        <v>7</v>
      </c>
      <c r="AF212">
        <v>3</v>
      </c>
      <c r="AG212">
        <v>0</v>
      </c>
      <c r="AH212">
        <v>2</v>
      </c>
      <c r="AI212">
        <v>0</v>
      </c>
      <c r="AJ212">
        <v>1</v>
      </c>
      <c r="AK212">
        <v>0</v>
      </c>
      <c r="AL212">
        <v>0</v>
      </c>
      <c r="AM212">
        <v>0</v>
      </c>
      <c r="AN212">
        <v>0</v>
      </c>
      <c r="AO212">
        <v>1</v>
      </c>
      <c r="AP212">
        <v>7</v>
      </c>
      <c r="AQ212">
        <v>1</v>
      </c>
      <c r="AR212">
        <v>0</v>
      </c>
      <c r="AS212">
        <v>0</v>
      </c>
      <c r="AT212">
        <v>1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1</v>
      </c>
      <c r="BC212">
        <v>7</v>
      </c>
      <c r="BD212">
        <v>0</v>
      </c>
      <c r="BE212">
        <v>2</v>
      </c>
      <c r="BF212">
        <v>2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3</v>
      </c>
      <c r="BN212">
        <v>7</v>
      </c>
      <c r="BO212">
        <v>66</v>
      </c>
      <c r="BP212">
        <v>40</v>
      </c>
      <c r="BQ212">
        <v>1</v>
      </c>
      <c r="BR212">
        <v>0</v>
      </c>
      <c r="BS212">
        <v>20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5</v>
      </c>
      <c r="BZ212">
        <v>66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4</v>
      </c>
      <c r="CN212">
        <v>3</v>
      </c>
      <c r="CO212">
        <v>1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4</v>
      </c>
      <c r="CY212">
        <v>5</v>
      </c>
      <c r="CZ212">
        <v>2</v>
      </c>
      <c r="DA212">
        <v>0</v>
      </c>
      <c r="DB212">
        <v>0</v>
      </c>
      <c r="DC212">
        <v>2</v>
      </c>
      <c r="DD212">
        <v>1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5</v>
      </c>
      <c r="DK212">
        <v>17</v>
      </c>
      <c r="DL212">
        <v>5</v>
      </c>
      <c r="DM212">
        <v>3</v>
      </c>
      <c r="DN212">
        <v>0</v>
      </c>
      <c r="DO212">
        <v>9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17</v>
      </c>
      <c r="DW212">
        <v>28</v>
      </c>
      <c r="DX212">
        <v>9</v>
      </c>
      <c r="DY212">
        <v>2</v>
      </c>
      <c r="DZ212">
        <v>0</v>
      </c>
      <c r="EA212">
        <v>4</v>
      </c>
      <c r="EB212">
        <v>0</v>
      </c>
      <c r="EC212">
        <v>1</v>
      </c>
      <c r="ED212">
        <v>4</v>
      </c>
      <c r="EE212">
        <v>3</v>
      </c>
      <c r="EF212">
        <v>3</v>
      </c>
      <c r="EG212">
        <v>2</v>
      </c>
      <c r="EH212">
        <v>28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</row>
    <row r="213" spans="1:172" ht="14.25">
      <c r="A213">
        <v>208</v>
      </c>
      <c r="B213" t="str">
        <f t="shared" si="37"/>
        <v>101409</v>
      </c>
      <c r="C213" t="str">
        <f t="shared" si="38"/>
        <v>Warta</v>
      </c>
      <c r="D213" t="str">
        <f t="shared" si="36"/>
        <v>sieradzki</v>
      </c>
      <c r="E213" t="str">
        <f t="shared" si="35"/>
        <v>łódzkie</v>
      </c>
      <c r="F213">
        <v>9</v>
      </c>
      <c r="G213" t="str">
        <f>"Szkoła Podstawowa, ul. Sieradzka 7, Rossoszyca, 98-290 Warta"</f>
        <v>Szkoła Podstawowa, ul. Sieradzka 7, Rossoszyca, 98-290 Warta</v>
      </c>
      <c r="H213">
        <v>1407</v>
      </c>
      <c r="I213">
        <v>1407</v>
      </c>
      <c r="J213">
        <v>0</v>
      </c>
      <c r="K213">
        <v>1000</v>
      </c>
      <c r="L213">
        <v>691</v>
      </c>
      <c r="M213">
        <v>309</v>
      </c>
      <c r="N213">
        <v>309</v>
      </c>
      <c r="O213">
        <v>0</v>
      </c>
      <c r="P213">
        <v>1</v>
      </c>
      <c r="Q213">
        <v>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309</v>
      </c>
      <c r="Z213">
        <v>0</v>
      </c>
      <c r="AA213">
        <v>0</v>
      </c>
      <c r="AB213">
        <v>309</v>
      </c>
      <c r="AC213">
        <v>5</v>
      </c>
      <c r="AD213">
        <v>304</v>
      </c>
      <c r="AE213">
        <v>5</v>
      </c>
      <c r="AF213">
        <v>2</v>
      </c>
      <c r="AG213">
        <v>0</v>
      </c>
      <c r="AH213">
        <v>0</v>
      </c>
      <c r="AI213">
        <v>0</v>
      </c>
      <c r="AJ213">
        <v>1</v>
      </c>
      <c r="AK213">
        <v>0</v>
      </c>
      <c r="AL213">
        <v>1</v>
      </c>
      <c r="AM213">
        <v>1</v>
      </c>
      <c r="AN213">
        <v>0</v>
      </c>
      <c r="AO213">
        <v>0</v>
      </c>
      <c r="AP213">
        <v>5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12</v>
      </c>
      <c r="BD213">
        <v>10</v>
      </c>
      <c r="BE213">
        <v>0</v>
      </c>
      <c r="BF213">
        <v>2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12</v>
      </c>
      <c r="BO213">
        <v>194</v>
      </c>
      <c r="BP213">
        <v>102</v>
      </c>
      <c r="BQ213">
        <v>7</v>
      </c>
      <c r="BR213">
        <v>2</v>
      </c>
      <c r="BS213">
        <v>79</v>
      </c>
      <c r="BT213">
        <v>2</v>
      </c>
      <c r="BU213">
        <v>0</v>
      </c>
      <c r="BV213">
        <v>0</v>
      </c>
      <c r="BW213">
        <v>0</v>
      </c>
      <c r="BX213">
        <v>0</v>
      </c>
      <c r="BY213">
        <v>2</v>
      </c>
      <c r="BZ213">
        <v>194</v>
      </c>
      <c r="CA213">
        <v>3</v>
      </c>
      <c r="CB213">
        <v>2</v>
      </c>
      <c r="CC213">
        <v>0</v>
      </c>
      <c r="CD213">
        <v>0</v>
      </c>
      <c r="CE213">
        <v>1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3</v>
      </c>
      <c r="CM213">
        <v>2</v>
      </c>
      <c r="CN213">
        <v>2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2</v>
      </c>
      <c r="CY213">
        <v>13</v>
      </c>
      <c r="CZ213">
        <v>7</v>
      </c>
      <c r="DA213">
        <v>1</v>
      </c>
      <c r="DB213">
        <v>1</v>
      </c>
      <c r="DC213">
        <v>0</v>
      </c>
      <c r="DD213">
        <v>1</v>
      </c>
      <c r="DE213">
        <v>2</v>
      </c>
      <c r="DF213">
        <v>1</v>
      </c>
      <c r="DG213">
        <v>0</v>
      </c>
      <c r="DH213">
        <v>0</v>
      </c>
      <c r="DI213">
        <v>0</v>
      </c>
      <c r="DJ213">
        <v>13</v>
      </c>
      <c r="DK213">
        <v>48</v>
      </c>
      <c r="DL213">
        <v>17</v>
      </c>
      <c r="DM213">
        <v>7</v>
      </c>
      <c r="DN213">
        <v>0</v>
      </c>
      <c r="DO213">
        <v>22</v>
      </c>
      <c r="DP213">
        <v>0</v>
      </c>
      <c r="DQ213">
        <v>1</v>
      </c>
      <c r="DR213">
        <v>0</v>
      </c>
      <c r="DS213">
        <v>1</v>
      </c>
      <c r="DT213">
        <v>0</v>
      </c>
      <c r="DU213">
        <v>0</v>
      </c>
      <c r="DV213">
        <v>48</v>
      </c>
      <c r="DW213">
        <v>26</v>
      </c>
      <c r="DX213">
        <v>9</v>
      </c>
      <c r="DY213">
        <v>1</v>
      </c>
      <c r="DZ213">
        <v>0</v>
      </c>
      <c r="EA213">
        <v>5</v>
      </c>
      <c r="EB213">
        <v>1</v>
      </c>
      <c r="EC213">
        <v>0</v>
      </c>
      <c r="ED213">
        <v>4</v>
      </c>
      <c r="EE213">
        <v>3</v>
      </c>
      <c r="EF213">
        <v>0</v>
      </c>
      <c r="EG213">
        <v>3</v>
      </c>
      <c r="EH213">
        <v>26</v>
      </c>
      <c r="EI213">
        <v>1</v>
      </c>
      <c r="EJ213">
        <v>0</v>
      </c>
      <c r="EK213">
        <v>1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1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</row>
    <row r="214" spans="1:172" ht="14.25">
      <c r="A214">
        <v>209</v>
      </c>
      <c r="B214" t="str">
        <f t="shared" si="37"/>
        <v>101409</v>
      </c>
      <c r="C214" t="str">
        <f t="shared" si="38"/>
        <v>Warta</v>
      </c>
      <c r="D214" t="str">
        <f t="shared" si="36"/>
        <v>sieradzki</v>
      </c>
      <c r="E214" t="str">
        <f t="shared" si="35"/>
        <v>łódzkie</v>
      </c>
      <c r="F214">
        <v>10</v>
      </c>
      <c r="G214" t="str">
        <f>"Szkoła Podstawowa, Włyń 10, 98-290 Warta"</f>
        <v>Szkoła Podstawowa, Włyń 10, 98-290 Warta</v>
      </c>
      <c r="H214">
        <v>846</v>
      </c>
      <c r="I214">
        <v>846</v>
      </c>
      <c r="J214">
        <v>0</v>
      </c>
      <c r="K214">
        <v>600</v>
      </c>
      <c r="L214">
        <v>469</v>
      </c>
      <c r="M214">
        <v>131</v>
      </c>
      <c r="N214">
        <v>131</v>
      </c>
      <c r="O214">
        <v>0</v>
      </c>
      <c r="P214">
        <v>0</v>
      </c>
      <c r="Q214">
        <v>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131</v>
      </c>
      <c r="Z214">
        <v>0</v>
      </c>
      <c r="AA214">
        <v>0</v>
      </c>
      <c r="AB214">
        <v>131</v>
      </c>
      <c r="AC214">
        <v>6</v>
      </c>
      <c r="AD214">
        <v>125</v>
      </c>
      <c r="AE214">
        <v>3</v>
      </c>
      <c r="AF214">
        <v>2</v>
      </c>
      <c r="AG214">
        <v>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3</v>
      </c>
      <c r="AQ214">
        <v>1</v>
      </c>
      <c r="AR214">
        <v>1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1</v>
      </c>
      <c r="BC214">
        <v>11</v>
      </c>
      <c r="BD214">
        <v>6</v>
      </c>
      <c r="BE214">
        <v>0</v>
      </c>
      <c r="BF214">
        <v>3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2</v>
      </c>
      <c r="BM214">
        <v>0</v>
      </c>
      <c r="BN214">
        <v>11</v>
      </c>
      <c r="BO214">
        <v>79</v>
      </c>
      <c r="BP214">
        <v>51</v>
      </c>
      <c r="BQ214">
        <v>1</v>
      </c>
      <c r="BR214">
        <v>0</v>
      </c>
      <c r="BS214">
        <v>25</v>
      </c>
      <c r="BT214">
        <v>0</v>
      </c>
      <c r="BU214">
        <v>0</v>
      </c>
      <c r="BV214">
        <v>1</v>
      </c>
      <c r="BW214">
        <v>0</v>
      </c>
      <c r="BX214">
        <v>0</v>
      </c>
      <c r="BY214">
        <v>1</v>
      </c>
      <c r="BZ214">
        <v>79</v>
      </c>
      <c r="CA214">
        <v>2</v>
      </c>
      <c r="CB214">
        <v>2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2</v>
      </c>
      <c r="CM214">
        <v>2</v>
      </c>
      <c r="CN214">
        <v>1</v>
      </c>
      <c r="CO214">
        <v>1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2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12</v>
      </c>
      <c r="DL214">
        <v>8</v>
      </c>
      <c r="DM214">
        <v>0</v>
      </c>
      <c r="DN214">
        <v>1</v>
      </c>
      <c r="DO214">
        <v>2</v>
      </c>
      <c r="DP214">
        <v>0</v>
      </c>
      <c r="DQ214">
        <v>0</v>
      </c>
      <c r="DR214">
        <v>1</v>
      </c>
      <c r="DS214">
        <v>0</v>
      </c>
      <c r="DT214">
        <v>0</v>
      </c>
      <c r="DU214">
        <v>0</v>
      </c>
      <c r="DV214">
        <v>12</v>
      </c>
      <c r="DW214">
        <v>13</v>
      </c>
      <c r="DX214">
        <v>5</v>
      </c>
      <c r="DY214">
        <v>0</v>
      </c>
      <c r="DZ214">
        <v>0</v>
      </c>
      <c r="EA214">
        <v>5</v>
      </c>
      <c r="EB214">
        <v>0</v>
      </c>
      <c r="EC214">
        <v>2</v>
      </c>
      <c r="ED214">
        <v>1</v>
      </c>
      <c r="EE214">
        <v>0</v>
      </c>
      <c r="EF214">
        <v>0</v>
      </c>
      <c r="EG214">
        <v>0</v>
      </c>
      <c r="EH214">
        <v>13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1</v>
      </c>
      <c r="ER214">
        <v>1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1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1</v>
      </c>
      <c r="FP214">
        <v>1</v>
      </c>
    </row>
    <row r="215" spans="1:172" ht="14.25">
      <c r="A215">
        <v>210</v>
      </c>
      <c r="B215" t="str">
        <f t="shared" si="37"/>
        <v>101409</v>
      </c>
      <c r="C215" t="str">
        <f t="shared" si="38"/>
        <v>Warta</v>
      </c>
      <c r="D215" t="str">
        <f t="shared" si="36"/>
        <v>sieradzki</v>
      </c>
      <c r="E215" t="str">
        <f t="shared" si="35"/>
        <v>łódzkie</v>
      </c>
      <c r="F215">
        <v>11</v>
      </c>
      <c r="G215" t="str">
        <f>"Szkoła Podstawowa, Raczków 23B, 98-290 Warta"</f>
        <v>Szkoła Podstawowa, Raczków 23B, 98-290 Warta</v>
      </c>
      <c r="H215">
        <v>660</v>
      </c>
      <c r="I215">
        <v>660</v>
      </c>
      <c r="J215">
        <v>0</v>
      </c>
      <c r="K215">
        <v>470</v>
      </c>
      <c r="L215">
        <v>354</v>
      </c>
      <c r="M215">
        <v>116</v>
      </c>
      <c r="N215">
        <v>116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116</v>
      </c>
      <c r="Z215">
        <v>0</v>
      </c>
      <c r="AA215">
        <v>0</v>
      </c>
      <c r="AB215">
        <v>116</v>
      </c>
      <c r="AC215">
        <v>12</v>
      </c>
      <c r="AD215">
        <v>104</v>
      </c>
      <c r="AE215">
        <v>5</v>
      </c>
      <c r="AF215">
        <v>1</v>
      </c>
      <c r="AG215">
        <v>0</v>
      </c>
      <c r="AH215">
        <v>0</v>
      </c>
      <c r="AI215">
        <v>2</v>
      </c>
      <c r="AJ215">
        <v>0</v>
      </c>
      <c r="AK215">
        <v>0</v>
      </c>
      <c r="AL215">
        <v>1</v>
      </c>
      <c r="AM215">
        <v>0</v>
      </c>
      <c r="AN215">
        <v>0</v>
      </c>
      <c r="AO215">
        <v>1</v>
      </c>
      <c r="AP215">
        <v>5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12</v>
      </c>
      <c r="BD215">
        <v>3</v>
      </c>
      <c r="BE215">
        <v>0</v>
      </c>
      <c r="BF215">
        <v>8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1</v>
      </c>
      <c r="BN215">
        <v>12</v>
      </c>
      <c r="BO215">
        <v>54</v>
      </c>
      <c r="BP215">
        <v>26</v>
      </c>
      <c r="BQ215">
        <v>5</v>
      </c>
      <c r="BR215">
        <v>1</v>
      </c>
      <c r="BS215">
        <v>19</v>
      </c>
      <c r="BT215">
        <v>1</v>
      </c>
      <c r="BU215">
        <v>0</v>
      </c>
      <c r="BV215">
        <v>0</v>
      </c>
      <c r="BW215">
        <v>0</v>
      </c>
      <c r="BX215">
        <v>0</v>
      </c>
      <c r="BY215">
        <v>2</v>
      </c>
      <c r="BZ215">
        <v>54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2</v>
      </c>
      <c r="CN215">
        <v>0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1</v>
      </c>
      <c r="CW215">
        <v>0</v>
      </c>
      <c r="CX215">
        <v>2</v>
      </c>
      <c r="CY215">
        <v>8</v>
      </c>
      <c r="CZ215">
        <v>2</v>
      </c>
      <c r="DA215">
        <v>2</v>
      </c>
      <c r="DB215">
        <v>0</v>
      </c>
      <c r="DC215">
        <v>0</v>
      </c>
      <c r="DD215">
        <v>2</v>
      </c>
      <c r="DE215">
        <v>0</v>
      </c>
      <c r="DF215">
        <v>1</v>
      </c>
      <c r="DG215">
        <v>0</v>
      </c>
      <c r="DH215">
        <v>1</v>
      </c>
      <c r="DI215">
        <v>0</v>
      </c>
      <c r="DJ215">
        <v>8</v>
      </c>
      <c r="DK215">
        <v>4</v>
      </c>
      <c r="DL215">
        <v>1</v>
      </c>
      <c r="DM215">
        <v>1</v>
      </c>
      <c r="DN215">
        <v>0</v>
      </c>
      <c r="DO215">
        <v>1</v>
      </c>
      <c r="DP215">
        <v>1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4</v>
      </c>
      <c r="DW215">
        <v>17</v>
      </c>
      <c r="DX215">
        <v>3</v>
      </c>
      <c r="DY215">
        <v>0</v>
      </c>
      <c r="DZ215">
        <v>0</v>
      </c>
      <c r="EA215">
        <v>9</v>
      </c>
      <c r="EB215">
        <v>1</v>
      </c>
      <c r="EC215">
        <v>0</v>
      </c>
      <c r="ED215">
        <v>1</v>
      </c>
      <c r="EE215">
        <v>3</v>
      </c>
      <c r="EF215">
        <v>0</v>
      </c>
      <c r="EG215">
        <v>0</v>
      </c>
      <c r="EH215">
        <v>17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1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1</v>
      </c>
      <c r="EZ215">
        <v>0</v>
      </c>
      <c r="FA215">
        <v>0</v>
      </c>
      <c r="FB215">
        <v>0</v>
      </c>
      <c r="FC215">
        <v>0</v>
      </c>
      <c r="FD215">
        <v>1</v>
      </c>
      <c r="FE215">
        <v>1</v>
      </c>
      <c r="FF215">
        <v>0</v>
      </c>
      <c r="FG215">
        <v>0</v>
      </c>
      <c r="FH215">
        <v>0</v>
      </c>
      <c r="FI215">
        <v>0</v>
      </c>
      <c r="FJ215">
        <v>1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1</v>
      </c>
    </row>
    <row r="216" spans="1:172" ht="14.25">
      <c r="A216">
        <v>211</v>
      </c>
      <c r="B216" t="str">
        <f>"101410"</f>
        <v>101410</v>
      </c>
      <c r="C216" t="str">
        <f>"Wróblew"</f>
        <v>Wróblew</v>
      </c>
      <c r="D216" t="str">
        <f t="shared" si="36"/>
        <v>sieradzki</v>
      </c>
      <c r="E216" t="str">
        <f t="shared" si="35"/>
        <v>łódzkie</v>
      </c>
      <c r="F216">
        <v>1</v>
      </c>
      <c r="G216" t="str">
        <f>"Publiczne Przedszkole we Wróblewie im.Wróbelka Elemelka we Wróblewie, Wróblew 55b, 98-285 Wróblew"</f>
        <v>Publiczne Przedszkole we Wróblewie im.Wróbelka Elemelka we Wróblewie, Wróblew 55b, 98-285 Wróblew</v>
      </c>
      <c r="H216">
        <v>1802</v>
      </c>
      <c r="I216">
        <v>1802</v>
      </c>
      <c r="J216">
        <v>0</v>
      </c>
      <c r="K216">
        <v>1260</v>
      </c>
      <c r="L216">
        <v>940</v>
      </c>
      <c r="M216">
        <v>320</v>
      </c>
      <c r="N216">
        <v>320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320</v>
      </c>
      <c r="Z216">
        <v>0</v>
      </c>
      <c r="AA216">
        <v>0</v>
      </c>
      <c r="AB216">
        <v>320</v>
      </c>
      <c r="AC216">
        <v>14</v>
      </c>
      <c r="AD216">
        <v>306</v>
      </c>
      <c r="AE216">
        <v>4</v>
      </c>
      <c r="AF216">
        <v>1</v>
      </c>
      <c r="AG216">
        <v>3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4</v>
      </c>
      <c r="AQ216">
        <v>2</v>
      </c>
      <c r="AR216">
        <v>0</v>
      </c>
      <c r="AS216">
        <v>1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1</v>
      </c>
      <c r="BB216">
        <v>2</v>
      </c>
      <c r="BC216">
        <v>7</v>
      </c>
      <c r="BD216">
        <v>4</v>
      </c>
      <c r="BE216">
        <v>1</v>
      </c>
      <c r="BF216">
        <v>1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1</v>
      </c>
      <c r="BN216">
        <v>7</v>
      </c>
      <c r="BO216">
        <v>156</v>
      </c>
      <c r="BP216">
        <v>109</v>
      </c>
      <c r="BQ216">
        <v>3</v>
      </c>
      <c r="BR216">
        <v>4</v>
      </c>
      <c r="BS216">
        <v>34</v>
      </c>
      <c r="BT216">
        <v>0</v>
      </c>
      <c r="BU216">
        <v>2</v>
      </c>
      <c r="BV216">
        <v>3</v>
      </c>
      <c r="BW216">
        <v>0</v>
      </c>
      <c r="BX216">
        <v>0</v>
      </c>
      <c r="BY216">
        <v>1</v>
      </c>
      <c r="BZ216">
        <v>156</v>
      </c>
      <c r="CA216">
        <v>4</v>
      </c>
      <c r="CB216">
        <v>2</v>
      </c>
      <c r="CC216">
        <v>1</v>
      </c>
      <c r="CD216">
        <v>0</v>
      </c>
      <c r="CE216">
        <v>0</v>
      </c>
      <c r="CF216">
        <v>0</v>
      </c>
      <c r="CG216">
        <v>1</v>
      </c>
      <c r="CH216">
        <v>0</v>
      </c>
      <c r="CI216">
        <v>0</v>
      </c>
      <c r="CJ216">
        <v>0</v>
      </c>
      <c r="CK216">
        <v>0</v>
      </c>
      <c r="CL216">
        <v>4</v>
      </c>
      <c r="CM216">
        <v>9</v>
      </c>
      <c r="CN216">
        <v>4</v>
      </c>
      <c r="CO216">
        <v>0</v>
      </c>
      <c r="CP216">
        <v>2</v>
      </c>
      <c r="CQ216">
        <v>0</v>
      </c>
      <c r="CR216">
        <v>3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9</v>
      </c>
      <c r="CY216">
        <v>21</v>
      </c>
      <c r="CZ216">
        <v>10</v>
      </c>
      <c r="DA216">
        <v>1</v>
      </c>
      <c r="DB216">
        <v>0</v>
      </c>
      <c r="DC216">
        <v>0</v>
      </c>
      <c r="DD216">
        <v>5</v>
      </c>
      <c r="DE216">
        <v>1</v>
      </c>
      <c r="DF216">
        <v>0</v>
      </c>
      <c r="DG216">
        <v>1</v>
      </c>
      <c r="DH216">
        <v>1</v>
      </c>
      <c r="DI216">
        <v>2</v>
      </c>
      <c r="DJ216">
        <v>21</v>
      </c>
      <c r="DK216">
        <v>42</v>
      </c>
      <c r="DL216">
        <v>20</v>
      </c>
      <c r="DM216">
        <v>6</v>
      </c>
      <c r="DN216">
        <v>1</v>
      </c>
      <c r="DO216">
        <v>11</v>
      </c>
      <c r="DP216">
        <v>1</v>
      </c>
      <c r="DQ216">
        <v>2</v>
      </c>
      <c r="DR216">
        <v>0</v>
      </c>
      <c r="DS216">
        <v>0</v>
      </c>
      <c r="DT216">
        <v>1</v>
      </c>
      <c r="DU216">
        <v>0</v>
      </c>
      <c r="DV216">
        <v>42</v>
      </c>
      <c r="DW216">
        <v>55</v>
      </c>
      <c r="DX216">
        <v>11</v>
      </c>
      <c r="DY216">
        <v>1</v>
      </c>
      <c r="DZ216">
        <v>0</v>
      </c>
      <c r="EA216">
        <v>27</v>
      </c>
      <c r="EB216">
        <v>0</v>
      </c>
      <c r="EC216">
        <v>10</v>
      </c>
      <c r="ED216">
        <v>2</v>
      </c>
      <c r="EE216">
        <v>0</v>
      </c>
      <c r="EF216">
        <v>2</v>
      </c>
      <c r="EG216">
        <v>2</v>
      </c>
      <c r="EH216">
        <v>55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5</v>
      </c>
      <c r="ET216">
        <v>5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5</v>
      </c>
      <c r="FE216">
        <v>1</v>
      </c>
      <c r="FF216">
        <v>0</v>
      </c>
      <c r="FG216">
        <v>0</v>
      </c>
      <c r="FH216">
        <v>0</v>
      </c>
      <c r="FI216">
        <v>1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1</v>
      </c>
    </row>
    <row r="217" spans="1:172" ht="14.25">
      <c r="A217">
        <v>212</v>
      </c>
      <c r="B217" t="str">
        <f>"101410"</f>
        <v>101410</v>
      </c>
      <c r="C217" t="str">
        <f>"Wróblew"</f>
        <v>Wróblew</v>
      </c>
      <c r="D217" t="str">
        <f t="shared" si="36"/>
        <v>sieradzki</v>
      </c>
      <c r="E217" t="str">
        <f t="shared" si="35"/>
        <v>łódzkie</v>
      </c>
      <c r="F217">
        <v>2</v>
      </c>
      <c r="G217" t="str">
        <f>"Szkoła Podstawowa w Słomkowie Mokrym, Słomków Mokry 23, 98-285 WRÓBLEW"</f>
        <v>Szkoła Podstawowa w Słomkowie Mokrym, Słomków Mokry 23, 98-285 WRÓBLEW</v>
      </c>
      <c r="H217">
        <v>1242</v>
      </c>
      <c r="I217">
        <v>1242</v>
      </c>
      <c r="J217">
        <v>0</v>
      </c>
      <c r="K217">
        <v>870</v>
      </c>
      <c r="L217">
        <v>630</v>
      </c>
      <c r="M217">
        <v>240</v>
      </c>
      <c r="N217">
        <v>240</v>
      </c>
      <c r="O217">
        <v>0</v>
      </c>
      <c r="P217">
        <v>0</v>
      </c>
      <c r="Q217">
        <v>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240</v>
      </c>
      <c r="Z217">
        <v>0</v>
      </c>
      <c r="AA217">
        <v>0</v>
      </c>
      <c r="AB217">
        <v>240</v>
      </c>
      <c r="AC217">
        <v>12</v>
      </c>
      <c r="AD217">
        <v>228</v>
      </c>
      <c r="AE217">
        <v>5</v>
      </c>
      <c r="AF217">
        <v>2</v>
      </c>
      <c r="AG217">
        <v>0</v>
      </c>
      <c r="AH217">
        <v>0</v>
      </c>
      <c r="AI217">
        <v>0</v>
      </c>
      <c r="AJ217">
        <v>0</v>
      </c>
      <c r="AK217">
        <v>1</v>
      </c>
      <c r="AL217">
        <v>1</v>
      </c>
      <c r="AM217">
        <v>1</v>
      </c>
      <c r="AN217">
        <v>0</v>
      </c>
      <c r="AO217">
        <v>0</v>
      </c>
      <c r="AP217">
        <v>5</v>
      </c>
      <c r="AQ217">
        <v>2</v>
      </c>
      <c r="AR217">
        <v>0</v>
      </c>
      <c r="AS217">
        <v>2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2</v>
      </c>
      <c r="BC217">
        <v>14</v>
      </c>
      <c r="BD217">
        <v>4</v>
      </c>
      <c r="BE217">
        <v>1</v>
      </c>
      <c r="BF217">
        <v>6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1</v>
      </c>
      <c r="BM217">
        <v>2</v>
      </c>
      <c r="BN217">
        <v>14</v>
      </c>
      <c r="BO217">
        <v>85</v>
      </c>
      <c r="BP217">
        <v>54</v>
      </c>
      <c r="BQ217">
        <v>4</v>
      </c>
      <c r="BR217">
        <v>4</v>
      </c>
      <c r="BS217">
        <v>12</v>
      </c>
      <c r="BT217">
        <v>0</v>
      </c>
      <c r="BU217">
        <v>4</v>
      </c>
      <c r="BV217">
        <v>0</v>
      </c>
      <c r="BW217">
        <v>0</v>
      </c>
      <c r="BX217">
        <v>0</v>
      </c>
      <c r="BY217">
        <v>7</v>
      </c>
      <c r="BZ217">
        <v>85</v>
      </c>
      <c r="CA217">
        <v>6</v>
      </c>
      <c r="CB217">
        <v>2</v>
      </c>
      <c r="CC217">
        <v>2</v>
      </c>
      <c r="CD217">
        <v>2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6</v>
      </c>
      <c r="CM217">
        <v>5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4</v>
      </c>
      <c r="CT217">
        <v>0</v>
      </c>
      <c r="CU217">
        <v>0</v>
      </c>
      <c r="CV217">
        <v>0</v>
      </c>
      <c r="CW217">
        <v>1</v>
      </c>
      <c r="CX217">
        <v>5</v>
      </c>
      <c r="CY217">
        <v>17</v>
      </c>
      <c r="CZ217">
        <v>9</v>
      </c>
      <c r="DA217">
        <v>1</v>
      </c>
      <c r="DB217">
        <v>2</v>
      </c>
      <c r="DC217">
        <v>0</v>
      </c>
      <c r="DD217">
        <v>1</v>
      </c>
      <c r="DE217">
        <v>2</v>
      </c>
      <c r="DF217">
        <v>0</v>
      </c>
      <c r="DG217">
        <v>1</v>
      </c>
      <c r="DH217">
        <v>1</v>
      </c>
      <c r="DI217">
        <v>0</v>
      </c>
      <c r="DJ217">
        <v>17</v>
      </c>
      <c r="DK217">
        <v>20</v>
      </c>
      <c r="DL217">
        <v>7</v>
      </c>
      <c r="DM217">
        <v>3</v>
      </c>
      <c r="DN217">
        <v>0</v>
      </c>
      <c r="DO217">
        <v>10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20</v>
      </c>
      <c r="DW217">
        <v>72</v>
      </c>
      <c r="DX217">
        <v>16</v>
      </c>
      <c r="DY217">
        <v>3</v>
      </c>
      <c r="DZ217">
        <v>0</v>
      </c>
      <c r="EA217">
        <v>38</v>
      </c>
      <c r="EB217">
        <v>2</v>
      </c>
      <c r="EC217">
        <v>10</v>
      </c>
      <c r="ED217">
        <v>1</v>
      </c>
      <c r="EE217">
        <v>0</v>
      </c>
      <c r="EF217">
        <v>2</v>
      </c>
      <c r="EG217">
        <v>0</v>
      </c>
      <c r="EH217">
        <v>72</v>
      </c>
      <c r="EI217">
        <v>1</v>
      </c>
      <c r="EJ217">
        <v>0</v>
      </c>
      <c r="EK217">
        <v>1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1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1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1</v>
      </c>
      <c r="FO217">
        <v>0</v>
      </c>
      <c r="FP217">
        <v>1</v>
      </c>
    </row>
    <row r="218" spans="1:172" ht="14.25">
      <c r="A218">
        <v>213</v>
      </c>
      <c r="B218" t="str">
        <f>"101410"</f>
        <v>101410</v>
      </c>
      <c r="C218" t="str">
        <f>"Wróblew"</f>
        <v>Wróblew</v>
      </c>
      <c r="D218" t="str">
        <f t="shared" si="36"/>
        <v>sieradzki</v>
      </c>
      <c r="E218" t="str">
        <f t="shared" si="35"/>
        <v>łódzkie</v>
      </c>
      <c r="F218">
        <v>3</v>
      </c>
      <c r="G218" t="str">
        <f>"Szkoła Podstawowa w Charłupi Wielkiej, Charłupia Wielka 116, 98-285 Wróblew"</f>
        <v>Szkoła Podstawowa w Charłupi Wielkiej, Charłupia Wielka 116, 98-285 Wróblew</v>
      </c>
      <c r="H218">
        <v>1288</v>
      </c>
      <c r="I218">
        <v>1288</v>
      </c>
      <c r="J218">
        <v>0</v>
      </c>
      <c r="K218">
        <v>900</v>
      </c>
      <c r="L218">
        <v>729</v>
      </c>
      <c r="M218">
        <v>171</v>
      </c>
      <c r="N218">
        <v>171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171</v>
      </c>
      <c r="Z218">
        <v>0</v>
      </c>
      <c r="AA218">
        <v>0</v>
      </c>
      <c r="AB218">
        <v>171</v>
      </c>
      <c r="AC218">
        <v>8</v>
      </c>
      <c r="AD218">
        <v>163</v>
      </c>
      <c r="AE218">
        <v>5</v>
      </c>
      <c r="AF218">
        <v>2</v>
      </c>
      <c r="AG218">
        <v>1</v>
      </c>
      <c r="AH218">
        <v>0</v>
      </c>
      <c r="AI218">
        <v>0</v>
      </c>
      <c r="AJ218">
        <v>0</v>
      </c>
      <c r="AK218">
        <v>0</v>
      </c>
      <c r="AL218">
        <v>1</v>
      </c>
      <c r="AM218">
        <v>0</v>
      </c>
      <c r="AN218">
        <v>0</v>
      </c>
      <c r="AO218">
        <v>1</v>
      </c>
      <c r="AP218">
        <v>5</v>
      </c>
      <c r="AQ218">
        <v>2</v>
      </c>
      <c r="AR218">
        <v>1</v>
      </c>
      <c r="AS218">
        <v>0</v>
      </c>
      <c r="AT218">
        <v>0</v>
      </c>
      <c r="AU218">
        <v>1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2</v>
      </c>
      <c r="BC218">
        <v>8</v>
      </c>
      <c r="BD218">
        <v>0</v>
      </c>
      <c r="BE218">
        <v>0</v>
      </c>
      <c r="BF218">
        <v>7</v>
      </c>
      <c r="BG218">
        <v>0</v>
      </c>
      <c r="BH218">
        <v>1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8</v>
      </c>
      <c r="BO218">
        <v>90</v>
      </c>
      <c r="BP218">
        <v>67</v>
      </c>
      <c r="BQ218">
        <v>4</v>
      </c>
      <c r="BR218">
        <v>1</v>
      </c>
      <c r="BS218">
        <v>13</v>
      </c>
      <c r="BT218">
        <v>0</v>
      </c>
      <c r="BU218">
        <v>0</v>
      </c>
      <c r="BV218">
        <v>1</v>
      </c>
      <c r="BW218">
        <v>2</v>
      </c>
      <c r="BX218">
        <v>0</v>
      </c>
      <c r="BY218">
        <v>2</v>
      </c>
      <c r="BZ218">
        <v>90</v>
      </c>
      <c r="CA218">
        <v>2</v>
      </c>
      <c r="CB218">
        <v>1</v>
      </c>
      <c r="CC218">
        <v>0</v>
      </c>
      <c r="CD218">
        <v>1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2</v>
      </c>
      <c r="CM218">
        <v>1</v>
      </c>
      <c r="CN218">
        <v>1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1</v>
      </c>
      <c r="CY218">
        <v>4</v>
      </c>
      <c r="CZ218">
        <v>4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4</v>
      </c>
      <c r="DK218">
        <v>25</v>
      </c>
      <c r="DL218">
        <v>11</v>
      </c>
      <c r="DM218">
        <v>2</v>
      </c>
      <c r="DN218">
        <v>0</v>
      </c>
      <c r="DO218">
        <v>12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25</v>
      </c>
      <c r="DW218">
        <v>25</v>
      </c>
      <c r="DX218">
        <v>7</v>
      </c>
      <c r="DY218">
        <v>0</v>
      </c>
      <c r="DZ218">
        <v>0</v>
      </c>
      <c r="EA218">
        <v>10</v>
      </c>
      <c r="EB218">
        <v>3</v>
      </c>
      <c r="EC218">
        <v>0</v>
      </c>
      <c r="ED218">
        <v>3</v>
      </c>
      <c r="EE218">
        <v>1</v>
      </c>
      <c r="EF218">
        <v>1</v>
      </c>
      <c r="EG218">
        <v>0</v>
      </c>
      <c r="EH218">
        <v>25</v>
      </c>
      <c r="EI218">
        <v>1</v>
      </c>
      <c r="EJ218">
        <v>0</v>
      </c>
      <c r="EK218">
        <v>1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1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</row>
    <row r="219" spans="1:172" ht="14.25">
      <c r="A219">
        <v>214</v>
      </c>
      <c r="B219" t="str">
        <f>"101410"</f>
        <v>101410</v>
      </c>
      <c r="C219" t="str">
        <f>"Wróblew"</f>
        <v>Wróblew</v>
      </c>
      <c r="D219" t="str">
        <f t="shared" si="36"/>
        <v>sieradzki</v>
      </c>
      <c r="E219" t="str">
        <f t="shared" si="35"/>
        <v>łódzkie</v>
      </c>
      <c r="F219">
        <v>4</v>
      </c>
      <c r="G219" t="str">
        <f>"Szkoła Podstawowa w Wągłczewie, Wągłczew 4, 98-285 Wróblew"</f>
        <v>Szkoła Podstawowa w Wągłczewie, Wągłczew 4, 98-285 Wróblew</v>
      </c>
      <c r="H219">
        <v>650</v>
      </c>
      <c r="I219">
        <v>650</v>
      </c>
      <c r="J219">
        <v>0</v>
      </c>
      <c r="K219">
        <v>460</v>
      </c>
      <c r="L219">
        <v>362</v>
      </c>
      <c r="M219">
        <v>98</v>
      </c>
      <c r="N219">
        <v>98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98</v>
      </c>
      <c r="Z219">
        <v>0</v>
      </c>
      <c r="AA219">
        <v>0</v>
      </c>
      <c r="AB219">
        <v>98</v>
      </c>
      <c r="AC219">
        <v>6</v>
      </c>
      <c r="AD219">
        <v>92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2</v>
      </c>
      <c r="AR219">
        <v>0</v>
      </c>
      <c r="AS219">
        <v>0</v>
      </c>
      <c r="AT219">
        <v>0</v>
      </c>
      <c r="AU219">
        <v>0</v>
      </c>
      <c r="AV219">
        <v>2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2</v>
      </c>
      <c r="BC219">
        <v>5</v>
      </c>
      <c r="BD219">
        <v>1</v>
      </c>
      <c r="BE219">
        <v>0</v>
      </c>
      <c r="BF219">
        <v>2</v>
      </c>
      <c r="BG219">
        <v>1</v>
      </c>
      <c r="BH219">
        <v>0</v>
      </c>
      <c r="BI219">
        <v>0</v>
      </c>
      <c r="BJ219">
        <v>0</v>
      </c>
      <c r="BK219">
        <v>1</v>
      </c>
      <c r="BL219">
        <v>0</v>
      </c>
      <c r="BM219">
        <v>0</v>
      </c>
      <c r="BN219">
        <v>5</v>
      </c>
      <c r="BO219">
        <v>40</v>
      </c>
      <c r="BP219">
        <v>22</v>
      </c>
      <c r="BQ219">
        <v>2</v>
      </c>
      <c r="BR219">
        <v>3</v>
      </c>
      <c r="BS219">
        <v>11</v>
      </c>
      <c r="BT219">
        <v>0</v>
      </c>
      <c r="BU219">
        <v>0</v>
      </c>
      <c r="BV219">
        <v>1</v>
      </c>
      <c r="BW219">
        <v>0</v>
      </c>
      <c r="BX219">
        <v>0</v>
      </c>
      <c r="BY219">
        <v>1</v>
      </c>
      <c r="BZ219">
        <v>40</v>
      </c>
      <c r="CA219">
        <v>2</v>
      </c>
      <c r="CB219">
        <v>0</v>
      </c>
      <c r="CC219">
        <v>1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1</v>
      </c>
      <c r="CJ219">
        <v>0</v>
      </c>
      <c r="CK219">
        <v>0</v>
      </c>
      <c r="CL219">
        <v>2</v>
      </c>
      <c r="CM219">
        <v>1</v>
      </c>
      <c r="CN219">
        <v>1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1</v>
      </c>
      <c r="CY219">
        <v>13</v>
      </c>
      <c r="CZ219">
        <v>6</v>
      </c>
      <c r="DA219">
        <v>0</v>
      </c>
      <c r="DB219">
        <v>1</v>
      </c>
      <c r="DC219">
        <v>1</v>
      </c>
      <c r="DD219">
        <v>4</v>
      </c>
      <c r="DE219">
        <v>0</v>
      </c>
      <c r="DF219">
        <v>0</v>
      </c>
      <c r="DG219">
        <v>0</v>
      </c>
      <c r="DH219">
        <v>0</v>
      </c>
      <c r="DI219">
        <v>1</v>
      </c>
      <c r="DJ219">
        <v>13</v>
      </c>
      <c r="DK219">
        <v>12</v>
      </c>
      <c r="DL219">
        <v>9</v>
      </c>
      <c r="DM219">
        <v>0</v>
      </c>
      <c r="DN219">
        <v>0</v>
      </c>
      <c r="DO219">
        <v>2</v>
      </c>
      <c r="DP219">
        <v>0</v>
      </c>
      <c r="DQ219">
        <v>0</v>
      </c>
      <c r="DR219">
        <v>0</v>
      </c>
      <c r="DS219">
        <v>1</v>
      </c>
      <c r="DT219">
        <v>0</v>
      </c>
      <c r="DU219">
        <v>0</v>
      </c>
      <c r="DV219">
        <v>12</v>
      </c>
      <c r="DW219">
        <v>17</v>
      </c>
      <c r="DX219">
        <v>1</v>
      </c>
      <c r="DY219">
        <v>0</v>
      </c>
      <c r="DZ219">
        <v>0</v>
      </c>
      <c r="EA219">
        <v>15</v>
      </c>
      <c r="EB219">
        <v>0</v>
      </c>
      <c r="EC219">
        <v>1</v>
      </c>
      <c r="ED219">
        <v>0</v>
      </c>
      <c r="EE219">
        <v>0</v>
      </c>
      <c r="EF219">
        <v>0</v>
      </c>
      <c r="EG219">
        <v>0</v>
      </c>
      <c r="EH219">
        <v>17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</row>
    <row r="220" spans="1:172" ht="14.25">
      <c r="A220">
        <v>215</v>
      </c>
      <c r="B220" t="str">
        <f aca="true" t="shared" si="39" ref="B220:B226">"101411"</f>
        <v>101411</v>
      </c>
      <c r="C220" t="str">
        <f aca="true" t="shared" si="40" ref="C220:C226">"Złoczew"</f>
        <v>Złoczew</v>
      </c>
      <c r="D220" t="str">
        <f t="shared" si="36"/>
        <v>sieradzki</v>
      </c>
      <c r="E220" t="str">
        <f t="shared" si="35"/>
        <v>łódzkie</v>
      </c>
      <c r="F220">
        <v>1</v>
      </c>
      <c r="G220" t="str">
        <f>"Szkoła Podstawowa nr 1 w Złoczewie, Burzenińska 4/6, 98-270 Złoczew"</f>
        <v>Szkoła Podstawowa nr 1 w Złoczewie, Burzenińska 4/6, 98-270 Złoczew</v>
      </c>
      <c r="H220">
        <v>1528</v>
      </c>
      <c r="I220">
        <v>1528</v>
      </c>
      <c r="J220">
        <v>0</v>
      </c>
      <c r="K220">
        <v>1072</v>
      </c>
      <c r="L220">
        <v>719</v>
      </c>
      <c r="M220">
        <v>353</v>
      </c>
      <c r="N220">
        <v>353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353</v>
      </c>
      <c r="Z220">
        <v>0</v>
      </c>
      <c r="AA220">
        <v>0</v>
      </c>
      <c r="AB220">
        <v>353</v>
      </c>
      <c r="AC220">
        <v>7</v>
      </c>
      <c r="AD220">
        <v>346</v>
      </c>
      <c r="AE220">
        <v>19</v>
      </c>
      <c r="AF220">
        <v>16</v>
      </c>
      <c r="AG220">
        <v>0</v>
      </c>
      <c r="AH220">
        <v>1</v>
      </c>
      <c r="AI220">
        <v>0</v>
      </c>
      <c r="AJ220">
        <v>0</v>
      </c>
      <c r="AK220">
        <v>0</v>
      </c>
      <c r="AL220">
        <v>1</v>
      </c>
      <c r="AM220">
        <v>1</v>
      </c>
      <c r="AN220">
        <v>0</v>
      </c>
      <c r="AO220">
        <v>0</v>
      </c>
      <c r="AP220">
        <v>19</v>
      </c>
      <c r="AQ220">
        <v>5</v>
      </c>
      <c r="AR220">
        <v>3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2</v>
      </c>
      <c r="BB220">
        <v>5</v>
      </c>
      <c r="BC220">
        <v>15</v>
      </c>
      <c r="BD220">
        <v>7</v>
      </c>
      <c r="BE220">
        <v>0</v>
      </c>
      <c r="BF220">
        <v>6</v>
      </c>
      <c r="BG220">
        <v>0</v>
      </c>
      <c r="BH220">
        <v>0</v>
      </c>
      <c r="BI220">
        <v>1</v>
      </c>
      <c r="BJ220">
        <v>0</v>
      </c>
      <c r="BK220">
        <v>0</v>
      </c>
      <c r="BL220">
        <v>0</v>
      </c>
      <c r="BM220">
        <v>1</v>
      </c>
      <c r="BN220">
        <v>15</v>
      </c>
      <c r="BO220">
        <v>144</v>
      </c>
      <c r="BP220">
        <v>119</v>
      </c>
      <c r="BQ220">
        <v>3</v>
      </c>
      <c r="BR220">
        <v>3</v>
      </c>
      <c r="BS220">
        <v>13</v>
      </c>
      <c r="BT220">
        <v>2</v>
      </c>
      <c r="BU220">
        <v>0</v>
      </c>
      <c r="BV220">
        <v>2</v>
      </c>
      <c r="BW220">
        <v>0</v>
      </c>
      <c r="BX220">
        <v>0</v>
      </c>
      <c r="BY220">
        <v>2</v>
      </c>
      <c r="BZ220">
        <v>144</v>
      </c>
      <c r="CA220">
        <v>6</v>
      </c>
      <c r="CB220">
        <v>2</v>
      </c>
      <c r="CC220">
        <v>0</v>
      </c>
      <c r="CD220">
        <v>1</v>
      </c>
      <c r="CE220">
        <v>0</v>
      </c>
      <c r="CF220">
        <v>0</v>
      </c>
      <c r="CG220">
        <v>1</v>
      </c>
      <c r="CH220">
        <v>1</v>
      </c>
      <c r="CI220">
        <v>1</v>
      </c>
      <c r="CJ220">
        <v>0</v>
      </c>
      <c r="CK220">
        <v>0</v>
      </c>
      <c r="CL220">
        <v>6</v>
      </c>
      <c r="CM220">
        <v>6</v>
      </c>
      <c r="CN220">
        <v>4</v>
      </c>
      <c r="CO220">
        <v>1</v>
      </c>
      <c r="CP220">
        <v>0</v>
      </c>
      <c r="CQ220">
        <v>0</v>
      </c>
      <c r="CR220">
        <v>0</v>
      </c>
      <c r="CS220">
        <v>1</v>
      </c>
      <c r="CT220">
        <v>0</v>
      </c>
      <c r="CU220">
        <v>0</v>
      </c>
      <c r="CV220">
        <v>0</v>
      </c>
      <c r="CW220">
        <v>0</v>
      </c>
      <c r="CX220">
        <v>6</v>
      </c>
      <c r="CY220">
        <v>19</v>
      </c>
      <c r="CZ220">
        <v>10</v>
      </c>
      <c r="DA220">
        <v>2</v>
      </c>
      <c r="DB220">
        <v>0</v>
      </c>
      <c r="DC220">
        <v>1</v>
      </c>
      <c r="DD220">
        <v>0</v>
      </c>
      <c r="DE220">
        <v>1</v>
      </c>
      <c r="DF220">
        <v>0</v>
      </c>
      <c r="DG220">
        <v>2</v>
      </c>
      <c r="DH220">
        <v>3</v>
      </c>
      <c r="DI220">
        <v>0</v>
      </c>
      <c r="DJ220">
        <v>19</v>
      </c>
      <c r="DK220">
        <v>81</v>
      </c>
      <c r="DL220">
        <v>38</v>
      </c>
      <c r="DM220">
        <v>15</v>
      </c>
      <c r="DN220">
        <v>0</v>
      </c>
      <c r="DO220">
        <v>23</v>
      </c>
      <c r="DP220">
        <v>3</v>
      </c>
      <c r="DQ220">
        <v>2</v>
      </c>
      <c r="DR220">
        <v>0</v>
      </c>
      <c r="DS220">
        <v>0</v>
      </c>
      <c r="DT220">
        <v>0</v>
      </c>
      <c r="DU220">
        <v>0</v>
      </c>
      <c r="DV220">
        <v>81</v>
      </c>
      <c r="DW220">
        <v>46</v>
      </c>
      <c r="DX220">
        <v>15</v>
      </c>
      <c r="DY220">
        <v>0</v>
      </c>
      <c r="DZ220">
        <v>1</v>
      </c>
      <c r="EA220">
        <v>12</v>
      </c>
      <c r="EB220">
        <v>0</v>
      </c>
      <c r="EC220">
        <v>4</v>
      </c>
      <c r="ED220">
        <v>9</v>
      </c>
      <c r="EE220">
        <v>4</v>
      </c>
      <c r="EF220">
        <v>1</v>
      </c>
      <c r="EG220">
        <v>0</v>
      </c>
      <c r="EH220">
        <v>46</v>
      </c>
      <c r="EI220">
        <v>3</v>
      </c>
      <c r="EJ220">
        <v>1</v>
      </c>
      <c r="EK220">
        <v>0</v>
      </c>
      <c r="EL220">
        <v>1</v>
      </c>
      <c r="EM220">
        <v>1</v>
      </c>
      <c r="EN220">
        <v>0</v>
      </c>
      <c r="EO220">
        <v>0</v>
      </c>
      <c r="EP220">
        <v>0</v>
      </c>
      <c r="EQ220">
        <v>0</v>
      </c>
      <c r="ER220">
        <v>3</v>
      </c>
      <c r="ES220">
        <v>1</v>
      </c>
      <c r="ET220">
        <v>1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1</v>
      </c>
      <c r="FE220">
        <v>1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1</v>
      </c>
    </row>
    <row r="221" spans="1:172" ht="14.25">
      <c r="A221">
        <v>216</v>
      </c>
      <c r="B221" t="str">
        <f t="shared" si="39"/>
        <v>101411</v>
      </c>
      <c r="C221" t="str">
        <f t="shared" si="40"/>
        <v>Złoczew</v>
      </c>
      <c r="D221" t="str">
        <f t="shared" si="36"/>
        <v>sieradzki</v>
      </c>
      <c r="E221" t="str">
        <f t="shared" si="35"/>
        <v>łódzkie</v>
      </c>
      <c r="F221">
        <v>2</v>
      </c>
      <c r="G221" t="str">
        <f>"Publiczne Gimnazjum w Złoczewie, Szkolna 18, 98-270 Złoczew"</f>
        <v>Publiczne Gimnazjum w Złoczewie, Szkolna 18, 98-270 Złoczew</v>
      </c>
      <c r="H221">
        <v>1238</v>
      </c>
      <c r="I221">
        <v>1238</v>
      </c>
      <c r="J221">
        <v>0</v>
      </c>
      <c r="K221">
        <v>869</v>
      </c>
      <c r="L221">
        <v>585</v>
      </c>
      <c r="M221">
        <v>284</v>
      </c>
      <c r="N221">
        <v>284</v>
      </c>
      <c r="O221">
        <v>0</v>
      </c>
      <c r="P221">
        <v>0</v>
      </c>
      <c r="Q221">
        <v>9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284</v>
      </c>
      <c r="Z221">
        <v>0</v>
      </c>
      <c r="AA221">
        <v>0</v>
      </c>
      <c r="AB221">
        <v>284</v>
      </c>
      <c r="AC221">
        <v>18</v>
      </c>
      <c r="AD221">
        <v>266</v>
      </c>
      <c r="AE221">
        <v>15</v>
      </c>
      <c r="AF221">
        <v>5</v>
      </c>
      <c r="AG221">
        <v>2</v>
      </c>
      <c r="AH221">
        <v>1</v>
      </c>
      <c r="AI221">
        <v>2</v>
      </c>
      <c r="AJ221">
        <v>1</v>
      </c>
      <c r="AK221">
        <v>0</v>
      </c>
      <c r="AL221">
        <v>2</v>
      </c>
      <c r="AM221">
        <v>0</v>
      </c>
      <c r="AN221">
        <v>1</v>
      </c>
      <c r="AO221">
        <v>1</v>
      </c>
      <c r="AP221">
        <v>15</v>
      </c>
      <c r="AQ221">
        <v>4</v>
      </c>
      <c r="AR221">
        <v>1</v>
      </c>
      <c r="AS221">
        <v>0</v>
      </c>
      <c r="AT221">
        <v>1</v>
      </c>
      <c r="AU221">
        <v>0</v>
      </c>
      <c r="AV221">
        <v>1</v>
      </c>
      <c r="AW221">
        <v>0</v>
      </c>
      <c r="AX221">
        <v>0</v>
      </c>
      <c r="AY221">
        <v>0</v>
      </c>
      <c r="AZ221">
        <v>0</v>
      </c>
      <c r="BA221">
        <v>1</v>
      </c>
      <c r="BB221">
        <v>4</v>
      </c>
      <c r="BC221">
        <v>14</v>
      </c>
      <c r="BD221">
        <v>4</v>
      </c>
      <c r="BE221">
        <v>1</v>
      </c>
      <c r="BF221">
        <v>4</v>
      </c>
      <c r="BG221">
        <v>0</v>
      </c>
      <c r="BH221">
        <v>0</v>
      </c>
      <c r="BI221">
        <v>4</v>
      </c>
      <c r="BJ221">
        <v>0</v>
      </c>
      <c r="BK221">
        <v>1</v>
      </c>
      <c r="BL221">
        <v>0</v>
      </c>
      <c r="BM221">
        <v>0</v>
      </c>
      <c r="BN221">
        <v>14</v>
      </c>
      <c r="BO221">
        <v>118</v>
      </c>
      <c r="BP221">
        <v>96</v>
      </c>
      <c r="BQ221">
        <v>6</v>
      </c>
      <c r="BR221">
        <v>1</v>
      </c>
      <c r="BS221">
        <v>2</v>
      </c>
      <c r="BT221">
        <v>0</v>
      </c>
      <c r="BU221">
        <v>12</v>
      </c>
      <c r="BV221">
        <v>1</v>
      </c>
      <c r="BW221">
        <v>0</v>
      </c>
      <c r="BX221">
        <v>0</v>
      </c>
      <c r="BY221">
        <v>0</v>
      </c>
      <c r="BZ221">
        <v>118</v>
      </c>
      <c r="CA221">
        <v>4</v>
      </c>
      <c r="CB221">
        <v>2</v>
      </c>
      <c r="CC221">
        <v>1</v>
      </c>
      <c r="CD221">
        <v>0</v>
      </c>
      <c r="CE221">
        <v>0</v>
      </c>
      <c r="CF221">
        <v>0</v>
      </c>
      <c r="CG221">
        <v>1</v>
      </c>
      <c r="CH221">
        <v>0</v>
      </c>
      <c r="CI221">
        <v>0</v>
      </c>
      <c r="CJ221">
        <v>0</v>
      </c>
      <c r="CK221">
        <v>0</v>
      </c>
      <c r="CL221">
        <v>4</v>
      </c>
      <c r="CM221">
        <v>4</v>
      </c>
      <c r="CN221">
        <v>2</v>
      </c>
      <c r="CO221">
        <v>1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4</v>
      </c>
      <c r="CY221">
        <v>26</v>
      </c>
      <c r="CZ221">
        <v>13</v>
      </c>
      <c r="DA221">
        <v>4</v>
      </c>
      <c r="DB221">
        <v>1</v>
      </c>
      <c r="DC221">
        <v>1</v>
      </c>
      <c r="DD221">
        <v>1</v>
      </c>
      <c r="DE221">
        <v>0</v>
      </c>
      <c r="DF221">
        <v>2</v>
      </c>
      <c r="DG221">
        <v>2</v>
      </c>
      <c r="DH221">
        <v>2</v>
      </c>
      <c r="DI221">
        <v>0</v>
      </c>
      <c r="DJ221">
        <v>26</v>
      </c>
      <c r="DK221">
        <v>48</v>
      </c>
      <c r="DL221">
        <v>23</v>
      </c>
      <c r="DM221">
        <v>9</v>
      </c>
      <c r="DN221">
        <v>1</v>
      </c>
      <c r="DO221">
        <v>12</v>
      </c>
      <c r="DP221">
        <v>1</v>
      </c>
      <c r="DQ221">
        <v>0</v>
      </c>
      <c r="DR221">
        <v>1</v>
      </c>
      <c r="DS221">
        <v>0</v>
      </c>
      <c r="DT221">
        <v>0</v>
      </c>
      <c r="DU221">
        <v>1</v>
      </c>
      <c r="DV221">
        <v>48</v>
      </c>
      <c r="DW221">
        <v>25</v>
      </c>
      <c r="DX221">
        <v>2</v>
      </c>
      <c r="DY221">
        <v>0</v>
      </c>
      <c r="DZ221">
        <v>1</v>
      </c>
      <c r="EA221">
        <v>20</v>
      </c>
      <c r="EB221">
        <v>1</v>
      </c>
      <c r="EC221">
        <v>0</v>
      </c>
      <c r="ED221">
        <v>0</v>
      </c>
      <c r="EE221">
        <v>0</v>
      </c>
      <c r="EF221">
        <v>1</v>
      </c>
      <c r="EG221">
        <v>0</v>
      </c>
      <c r="EH221">
        <v>25</v>
      </c>
      <c r="EI221">
        <v>3</v>
      </c>
      <c r="EJ221">
        <v>0</v>
      </c>
      <c r="EK221">
        <v>2</v>
      </c>
      <c r="EL221">
        <v>0</v>
      </c>
      <c r="EM221">
        <v>1</v>
      </c>
      <c r="EN221">
        <v>0</v>
      </c>
      <c r="EO221">
        <v>0</v>
      </c>
      <c r="EP221">
        <v>0</v>
      </c>
      <c r="EQ221">
        <v>0</v>
      </c>
      <c r="ER221">
        <v>3</v>
      </c>
      <c r="ES221">
        <v>3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2</v>
      </c>
      <c r="FB221">
        <v>1</v>
      </c>
      <c r="FC221">
        <v>0</v>
      </c>
      <c r="FD221">
        <v>3</v>
      </c>
      <c r="FE221">
        <v>2</v>
      </c>
      <c r="FF221">
        <v>0</v>
      </c>
      <c r="FG221">
        <v>0</v>
      </c>
      <c r="FH221">
        <v>0</v>
      </c>
      <c r="FI221">
        <v>1</v>
      </c>
      <c r="FJ221">
        <v>0</v>
      </c>
      <c r="FK221">
        <v>1</v>
      </c>
      <c r="FL221">
        <v>0</v>
      </c>
      <c r="FM221">
        <v>0</v>
      </c>
      <c r="FN221">
        <v>0</v>
      </c>
      <c r="FO221">
        <v>0</v>
      </c>
      <c r="FP221">
        <v>2</v>
      </c>
    </row>
    <row r="222" spans="1:172" ht="14.25">
      <c r="A222">
        <v>217</v>
      </c>
      <c r="B222" t="str">
        <f t="shared" si="39"/>
        <v>101411</v>
      </c>
      <c r="C222" t="str">
        <f t="shared" si="40"/>
        <v>Złoczew</v>
      </c>
      <c r="D222" t="str">
        <f t="shared" si="36"/>
        <v>sieradzki</v>
      </c>
      <c r="E222" t="str">
        <f t="shared" si="35"/>
        <v>łódzkie</v>
      </c>
      <c r="F222">
        <v>3</v>
      </c>
      <c r="G222" t="str">
        <f>"Szkoła Podstawowa w Broszkach, Broszki 4, 98-270 Złoczew"</f>
        <v>Szkoła Podstawowa w Broszkach, Broszki 4, 98-270 Złoczew</v>
      </c>
      <c r="H222">
        <v>381</v>
      </c>
      <c r="I222">
        <v>381</v>
      </c>
      <c r="J222">
        <v>0</v>
      </c>
      <c r="K222">
        <v>270</v>
      </c>
      <c r="L222">
        <v>214</v>
      </c>
      <c r="M222">
        <v>56</v>
      </c>
      <c r="N222">
        <v>56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56</v>
      </c>
      <c r="Z222">
        <v>0</v>
      </c>
      <c r="AA222">
        <v>0</v>
      </c>
      <c r="AB222">
        <v>56</v>
      </c>
      <c r="AC222">
        <v>1</v>
      </c>
      <c r="AD222">
        <v>55</v>
      </c>
      <c r="AE222">
        <v>3</v>
      </c>
      <c r="AF222">
        <v>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v>1</v>
      </c>
      <c r="AO222">
        <v>0</v>
      </c>
      <c r="AP222">
        <v>3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31</v>
      </c>
      <c r="BP222">
        <v>20</v>
      </c>
      <c r="BQ222">
        <v>7</v>
      </c>
      <c r="BR222">
        <v>0</v>
      </c>
      <c r="BS222">
        <v>3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31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2</v>
      </c>
      <c r="DL222">
        <v>0</v>
      </c>
      <c r="DM222">
        <v>1</v>
      </c>
      <c r="DN222">
        <v>0</v>
      </c>
      <c r="DO222">
        <v>1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2</v>
      </c>
      <c r="DW222">
        <v>19</v>
      </c>
      <c r="DX222">
        <v>9</v>
      </c>
      <c r="DY222">
        <v>0</v>
      </c>
      <c r="DZ222">
        <v>0</v>
      </c>
      <c r="EA222">
        <v>3</v>
      </c>
      <c r="EB222">
        <v>0</v>
      </c>
      <c r="EC222">
        <v>0</v>
      </c>
      <c r="ED222">
        <v>5</v>
      </c>
      <c r="EE222">
        <v>2</v>
      </c>
      <c r="EF222">
        <v>0</v>
      </c>
      <c r="EG222">
        <v>0</v>
      </c>
      <c r="EH222">
        <v>19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</row>
    <row r="223" spans="1:172" ht="14.25">
      <c r="A223">
        <v>218</v>
      </c>
      <c r="B223" t="str">
        <f t="shared" si="39"/>
        <v>101411</v>
      </c>
      <c r="C223" t="str">
        <f t="shared" si="40"/>
        <v>Złoczew</v>
      </c>
      <c r="D223" t="str">
        <f t="shared" si="36"/>
        <v>sieradzki</v>
      </c>
      <c r="E223" t="str">
        <f t="shared" si="35"/>
        <v>łódzkie</v>
      </c>
      <c r="F223">
        <v>4</v>
      </c>
      <c r="G223" t="str">
        <f>"Szkoła Podstawowa nr 1 w Złoczewie, Burzenińska 4/6, 98-270 Złoczew"</f>
        <v>Szkoła Podstawowa nr 1 w Złoczewie, Burzenińska 4/6, 98-270 Złoczew</v>
      </c>
      <c r="H223">
        <v>774</v>
      </c>
      <c r="I223">
        <v>774</v>
      </c>
      <c r="J223">
        <v>0</v>
      </c>
      <c r="K223">
        <v>538</v>
      </c>
      <c r="L223">
        <v>430</v>
      </c>
      <c r="M223">
        <v>108</v>
      </c>
      <c r="N223">
        <v>108</v>
      </c>
      <c r="O223">
        <v>0</v>
      </c>
      <c r="P223">
        <v>0</v>
      </c>
      <c r="Q223">
        <v>3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108</v>
      </c>
      <c r="Z223">
        <v>0</v>
      </c>
      <c r="AA223">
        <v>0</v>
      </c>
      <c r="AB223">
        <v>108</v>
      </c>
      <c r="AC223">
        <v>0</v>
      </c>
      <c r="AD223">
        <v>108</v>
      </c>
      <c r="AE223">
        <v>12</v>
      </c>
      <c r="AF223">
        <v>10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12</v>
      </c>
      <c r="AQ223">
        <v>1</v>
      </c>
      <c r="AR223">
        <v>1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1</v>
      </c>
      <c r="BC223">
        <v>1</v>
      </c>
      <c r="BD223">
        <v>0</v>
      </c>
      <c r="BE223">
        <v>0</v>
      </c>
      <c r="BF223">
        <v>1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1</v>
      </c>
      <c r="BO223">
        <v>65</v>
      </c>
      <c r="BP223">
        <v>49</v>
      </c>
      <c r="BQ223">
        <v>1</v>
      </c>
      <c r="BR223">
        <v>0</v>
      </c>
      <c r="BS223">
        <v>9</v>
      </c>
      <c r="BT223">
        <v>1</v>
      </c>
      <c r="BU223">
        <v>0</v>
      </c>
      <c r="BV223">
        <v>0</v>
      </c>
      <c r="BW223">
        <v>1</v>
      </c>
      <c r="BX223">
        <v>4</v>
      </c>
      <c r="BY223">
        <v>0</v>
      </c>
      <c r="BZ223">
        <v>65</v>
      </c>
      <c r="CA223">
        <v>2</v>
      </c>
      <c r="CB223">
        <v>2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2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9</v>
      </c>
      <c r="CZ223">
        <v>4</v>
      </c>
      <c r="DA223">
        <v>1</v>
      </c>
      <c r="DB223">
        <v>1</v>
      </c>
      <c r="DC223">
        <v>0</v>
      </c>
      <c r="DD223">
        <v>0</v>
      </c>
      <c r="DE223">
        <v>0</v>
      </c>
      <c r="DF223">
        <v>1</v>
      </c>
      <c r="DG223">
        <v>1</v>
      </c>
      <c r="DH223">
        <v>1</v>
      </c>
      <c r="DI223">
        <v>0</v>
      </c>
      <c r="DJ223">
        <v>9</v>
      </c>
      <c r="DK223">
        <v>6</v>
      </c>
      <c r="DL223">
        <v>1</v>
      </c>
      <c r="DM223">
        <v>4</v>
      </c>
      <c r="DN223">
        <v>0</v>
      </c>
      <c r="DO223">
        <v>0</v>
      </c>
      <c r="DP223">
        <v>1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6</v>
      </c>
      <c r="DW223">
        <v>10</v>
      </c>
      <c r="DX223">
        <v>3</v>
      </c>
      <c r="DY223">
        <v>0</v>
      </c>
      <c r="DZ223">
        <v>0</v>
      </c>
      <c r="EA223">
        <v>4</v>
      </c>
      <c r="EB223">
        <v>0</v>
      </c>
      <c r="EC223">
        <v>0</v>
      </c>
      <c r="ED223">
        <v>1</v>
      </c>
      <c r="EE223">
        <v>0</v>
      </c>
      <c r="EF223">
        <v>1</v>
      </c>
      <c r="EG223">
        <v>1</v>
      </c>
      <c r="EH223">
        <v>10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2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2</v>
      </c>
      <c r="EZ223">
        <v>0</v>
      </c>
      <c r="FA223">
        <v>0</v>
      </c>
      <c r="FB223">
        <v>0</v>
      </c>
      <c r="FC223">
        <v>0</v>
      </c>
      <c r="FD223">
        <v>2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</row>
    <row r="224" spans="1:172" ht="14.25">
      <c r="A224">
        <v>219</v>
      </c>
      <c r="B224" t="str">
        <f t="shared" si="39"/>
        <v>101411</v>
      </c>
      <c r="C224" t="str">
        <f t="shared" si="40"/>
        <v>Złoczew</v>
      </c>
      <c r="D224" t="str">
        <f t="shared" si="36"/>
        <v>sieradzki</v>
      </c>
      <c r="E224" t="str">
        <f t="shared" si="35"/>
        <v>łódzkie</v>
      </c>
      <c r="F224">
        <v>5</v>
      </c>
      <c r="G224" t="str">
        <f>"Środowiskowy Dom Samopomocy w Grójcu Wielkim, Grójec Wielki 24, 98-270 Złoczew"</f>
        <v>Środowiskowy Dom Samopomocy w Grójcu Wielkim, Grójec Wielki 24, 98-270 Złoczew</v>
      </c>
      <c r="H224">
        <v>440</v>
      </c>
      <c r="I224">
        <v>440</v>
      </c>
      <c r="J224">
        <v>0</v>
      </c>
      <c r="K224">
        <v>310</v>
      </c>
      <c r="L224">
        <v>248</v>
      </c>
      <c r="M224">
        <v>62</v>
      </c>
      <c r="N224">
        <v>62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62</v>
      </c>
      <c r="Z224">
        <v>0</v>
      </c>
      <c r="AA224">
        <v>0</v>
      </c>
      <c r="AB224">
        <v>62</v>
      </c>
      <c r="AC224">
        <v>4</v>
      </c>
      <c r="AD224">
        <v>58</v>
      </c>
      <c r="AE224">
        <v>9</v>
      </c>
      <c r="AF224">
        <v>6</v>
      </c>
      <c r="AG224">
        <v>1</v>
      </c>
      <c r="AH224">
        <v>0</v>
      </c>
      <c r="AI224">
        <v>1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9</v>
      </c>
      <c r="AQ224">
        <v>1</v>
      </c>
      <c r="AR224">
        <v>1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1</v>
      </c>
      <c r="BC224">
        <v>3</v>
      </c>
      <c r="BD224">
        <v>1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2</v>
      </c>
      <c r="BN224">
        <v>3</v>
      </c>
      <c r="BO224">
        <v>27</v>
      </c>
      <c r="BP224">
        <v>18</v>
      </c>
      <c r="BQ224">
        <v>1</v>
      </c>
      <c r="BR224">
        <v>0</v>
      </c>
      <c r="BS224">
        <v>6</v>
      </c>
      <c r="BT224">
        <v>1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27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10</v>
      </c>
      <c r="CZ224">
        <v>6</v>
      </c>
      <c r="DA224">
        <v>1</v>
      </c>
      <c r="DB224">
        <v>0</v>
      </c>
      <c r="DC224">
        <v>1</v>
      </c>
      <c r="DD224">
        <v>0</v>
      </c>
      <c r="DE224">
        <v>2</v>
      </c>
      <c r="DF224">
        <v>0</v>
      </c>
      <c r="DG224">
        <v>0</v>
      </c>
      <c r="DH224">
        <v>0</v>
      </c>
      <c r="DI224">
        <v>0</v>
      </c>
      <c r="DJ224">
        <v>10</v>
      </c>
      <c r="DK224">
        <v>1</v>
      </c>
      <c r="DL224">
        <v>1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1</v>
      </c>
      <c r="DW224">
        <v>7</v>
      </c>
      <c r="DX224">
        <v>1</v>
      </c>
      <c r="DY224">
        <v>0</v>
      </c>
      <c r="DZ224">
        <v>0</v>
      </c>
      <c r="EA224">
        <v>4</v>
      </c>
      <c r="EB224">
        <v>0</v>
      </c>
      <c r="EC224">
        <v>0</v>
      </c>
      <c r="ED224">
        <v>1</v>
      </c>
      <c r="EE224">
        <v>0</v>
      </c>
      <c r="EF224">
        <v>1</v>
      </c>
      <c r="EG224">
        <v>0</v>
      </c>
      <c r="EH224">
        <v>7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</row>
    <row r="225" spans="1:172" ht="14.25">
      <c r="A225">
        <v>220</v>
      </c>
      <c r="B225" t="str">
        <f t="shared" si="39"/>
        <v>101411</v>
      </c>
      <c r="C225" t="str">
        <f t="shared" si="40"/>
        <v>Złoczew</v>
      </c>
      <c r="D225" t="str">
        <f t="shared" si="36"/>
        <v>sieradzki</v>
      </c>
      <c r="E225" t="str">
        <f t="shared" si="35"/>
        <v>łódzkie</v>
      </c>
      <c r="F225">
        <v>6</v>
      </c>
      <c r="G225" t="str">
        <f>"Szkoła Podstawowa w Unikowie, Uników 4, 98-270 Złoczew"</f>
        <v>Szkoła Podstawowa w Unikowie, Uników 4, 98-270 Złoczew</v>
      </c>
      <c r="H225">
        <v>866</v>
      </c>
      <c r="I225">
        <v>866</v>
      </c>
      <c r="J225">
        <v>0</v>
      </c>
      <c r="K225">
        <v>604</v>
      </c>
      <c r="L225">
        <v>477</v>
      </c>
      <c r="M225">
        <v>127</v>
      </c>
      <c r="N225">
        <v>127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127</v>
      </c>
      <c r="Z225">
        <v>0</v>
      </c>
      <c r="AA225">
        <v>0</v>
      </c>
      <c r="AB225">
        <v>127</v>
      </c>
      <c r="AC225">
        <v>15</v>
      </c>
      <c r="AD225">
        <v>112</v>
      </c>
      <c r="AE225">
        <v>4</v>
      </c>
      <c r="AF225">
        <v>2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v>1</v>
      </c>
      <c r="AM225">
        <v>0</v>
      </c>
      <c r="AN225">
        <v>0</v>
      </c>
      <c r="AO225">
        <v>0</v>
      </c>
      <c r="AP225">
        <v>4</v>
      </c>
      <c r="AQ225">
        <v>1</v>
      </c>
      <c r="AR225">
        <v>1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1</v>
      </c>
      <c r="BC225">
        <v>16</v>
      </c>
      <c r="BD225">
        <v>7</v>
      </c>
      <c r="BE225">
        <v>2</v>
      </c>
      <c r="BF225">
        <v>4</v>
      </c>
      <c r="BG225">
        <v>0</v>
      </c>
      <c r="BH225">
        <v>0</v>
      </c>
      <c r="BI225">
        <v>0</v>
      </c>
      <c r="BJ225">
        <v>0</v>
      </c>
      <c r="BK225">
        <v>1</v>
      </c>
      <c r="BL225">
        <v>0</v>
      </c>
      <c r="BM225">
        <v>2</v>
      </c>
      <c r="BN225">
        <v>16</v>
      </c>
      <c r="BO225">
        <v>48</v>
      </c>
      <c r="BP225">
        <v>33</v>
      </c>
      <c r="BQ225">
        <v>10</v>
      </c>
      <c r="BR225">
        <v>1</v>
      </c>
      <c r="BS225">
        <v>1</v>
      </c>
      <c r="BT225">
        <v>0</v>
      </c>
      <c r="BU225">
        <v>0</v>
      </c>
      <c r="BV225">
        <v>0</v>
      </c>
      <c r="BW225">
        <v>0</v>
      </c>
      <c r="BX225">
        <v>1</v>
      </c>
      <c r="BY225">
        <v>2</v>
      </c>
      <c r="BZ225">
        <v>48</v>
      </c>
      <c r="CA225">
        <v>1</v>
      </c>
      <c r="CB225">
        <v>1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1</v>
      </c>
      <c r="CM225">
        <v>1</v>
      </c>
      <c r="CN225">
        <v>0</v>
      </c>
      <c r="CO225">
        <v>0</v>
      </c>
      <c r="CP225">
        <v>0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1</v>
      </c>
      <c r="CY225">
        <v>6</v>
      </c>
      <c r="CZ225">
        <v>5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1</v>
      </c>
      <c r="DH225">
        <v>0</v>
      </c>
      <c r="DI225">
        <v>0</v>
      </c>
      <c r="DJ225">
        <v>6</v>
      </c>
      <c r="DK225">
        <v>15</v>
      </c>
      <c r="DL225">
        <v>12</v>
      </c>
      <c r="DM225">
        <v>0</v>
      </c>
      <c r="DN225">
        <v>0</v>
      </c>
      <c r="DO225">
        <v>3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15</v>
      </c>
      <c r="DW225">
        <v>13</v>
      </c>
      <c r="DX225">
        <v>4</v>
      </c>
      <c r="DY225">
        <v>0</v>
      </c>
      <c r="DZ225">
        <v>0</v>
      </c>
      <c r="EA225">
        <v>7</v>
      </c>
      <c r="EB225">
        <v>0</v>
      </c>
      <c r="EC225">
        <v>0</v>
      </c>
      <c r="ED225">
        <v>2</v>
      </c>
      <c r="EE225">
        <v>0</v>
      </c>
      <c r="EF225">
        <v>0</v>
      </c>
      <c r="EG225">
        <v>0</v>
      </c>
      <c r="EH225">
        <v>13</v>
      </c>
      <c r="EI225">
        <v>1</v>
      </c>
      <c r="EJ225">
        <v>1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1</v>
      </c>
      <c r="ES225">
        <v>6</v>
      </c>
      <c r="ET225">
        <v>3</v>
      </c>
      <c r="EU225">
        <v>0</v>
      </c>
      <c r="EV225">
        <v>0</v>
      </c>
      <c r="EW225">
        <v>0</v>
      </c>
      <c r="EX225">
        <v>2</v>
      </c>
      <c r="EY225">
        <v>0</v>
      </c>
      <c r="EZ225">
        <v>0</v>
      </c>
      <c r="FA225">
        <v>0</v>
      </c>
      <c r="FB225">
        <v>0</v>
      </c>
      <c r="FC225">
        <v>1</v>
      </c>
      <c r="FD225">
        <v>6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</row>
    <row r="226" spans="1:172" ht="14.25">
      <c r="A226">
        <v>221</v>
      </c>
      <c r="B226" t="str">
        <f t="shared" si="39"/>
        <v>101411</v>
      </c>
      <c r="C226" t="str">
        <f t="shared" si="40"/>
        <v>Złoczew</v>
      </c>
      <c r="D226" t="str">
        <f t="shared" si="36"/>
        <v>sieradzki</v>
      </c>
      <c r="E226" t="str">
        <f t="shared" si="35"/>
        <v>łódzkie</v>
      </c>
      <c r="F226">
        <v>7</v>
      </c>
      <c r="G226" t="str">
        <f>"Szkoła Podstawowa w Stolcu, Stolec 35, 98-270 Złoczew"</f>
        <v>Szkoła Podstawowa w Stolcu, Stolec 35, 98-270 Złoczew</v>
      </c>
      <c r="H226">
        <v>683</v>
      </c>
      <c r="I226">
        <v>683</v>
      </c>
      <c r="J226">
        <v>0</v>
      </c>
      <c r="K226">
        <v>480</v>
      </c>
      <c r="L226">
        <v>328</v>
      </c>
      <c r="M226">
        <v>152</v>
      </c>
      <c r="N226">
        <v>152</v>
      </c>
      <c r="O226">
        <v>0</v>
      </c>
      <c r="P226">
        <v>0</v>
      </c>
      <c r="Q226">
        <v>2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152</v>
      </c>
      <c r="Z226">
        <v>0</v>
      </c>
      <c r="AA226">
        <v>0</v>
      </c>
      <c r="AB226">
        <v>152</v>
      </c>
      <c r="AC226">
        <v>8</v>
      </c>
      <c r="AD226">
        <v>144</v>
      </c>
      <c r="AE226">
        <v>10</v>
      </c>
      <c r="AF226">
        <v>3</v>
      </c>
      <c r="AG226">
        <v>2</v>
      </c>
      <c r="AH226">
        <v>1</v>
      </c>
      <c r="AI226">
        <v>1</v>
      </c>
      <c r="AJ226">
        <v>0</v>
      </c>
      <c r="AK226">
        <v>0</v>
      </c>
      <c r="AL226">
        <v>0</v>
      </c>
      <c r="AM226">
        <v>0</v>
      </c>
      <c r="AN226">
        <v>2</v>
      </c>
      <c r="AO226">
        <v>1</v>
      </c>
      <c r="AP226">
        <v>10</v>
      </c>
      <c r="AQ226">
        <v>1</v>
      </c>
      <c r="AR226">
        <v>1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1</v>
      </c>
      <c r="BC226">
        <v>4</v>
      </c>
      <c r="BD226">
        <v>2</v>
      </c>
      <c r="BE226">
        <v>0</v>
      </c>
      <c r="BF226">
        <v>1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1</v>
      </c>
      <c r="BM226">
        <v>0</v>
      </c>
      <c r="BN226">
        <v>4</v>
      </c>
      <c r="BO226">
        <v>74</v>
      </c>
      <c r="BP226">
        <v>50</v>
      </c>
      <c r="BQ226">
        <v>6</v>
      </c>
      <c r="BR226">
        <v>4</v>
      </c>
      <c r="BS226">
        <v>6</v>
      </c>
      <c r="BT226">
        <v>2</v>
      </c>
      <c r="BU226">
        <v>2</v>
      </c>
      <c r="BV226">
        <v>4</v>
      </c>
      <c r="BW226">
        <v>0</v>
      </c>
      <c r="BX226">
        <v>0</v>
      </c>
      <c r="BY226">
        <v>0</v>
      </c>
      <c r="BZ226">
        <v>74</v>
      </c>
      <c r="CA226">
        <v>2</v>
      </c>
      <c r="CB226">
        <v>0</v>
      </c>
      <c r="CC226">
        <v>0</v>
      </c>
      <c r="CD226">
        <v>0</v>
      </c>
      <c r="CE226">
        <v>1</v>
      </c>
      <c r="CF226">
        <v>0</v>
      </c>
      <c r="CG226">
        <v>0</v>
      </c>
      <c r="CH226">
        <v>0</v>
      </c>
      <c r="CI226">
        <v>0</v>
      </c>
      <c r="CJ226">
        <v>1</v>
      </c>
      <c r="CK226">
        <v>0</v>
      </c>
      <c r="CL226">
        <v>2</v>
      </c>
      <c r="CM226">
        <v>1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1</v>
      </c>
      <c r="CY226">
        <v>5</v>
      </c>
      <c r="CZ226">
        <v>2</v>
      </c>
      <c r="DA226">
        <v>2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1</v>
      </c>
      <c r="DI226">
        <v>0</v>
      </c>
      <c r="DJ226">
        <v>5</v>
      </c>
      <c r="DK226">
        <v>13</v>
      </c>
      <c r="DL226">
        <v>6</v>
      </c>
      <c r="DM226">
        <v>2</v>
      </c>
      <c r="DN226">
        <v>0</v>
      </c>
      <c r="DO226">
        <v>5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13</v>
      </c>
      <c r="DW226">
        <v>28</v>
      </c>
      <c r="DX226">
        <v>14</v>
      </c>
      <c r="DY226">
        <v>0</v>
      </c>
      <c r="DZ226">
        <v>0</v>
      </c>
      <c r="EA226">
        <v>8</v>
      </c>
      <c r="EB226">
        <v>1</v>
      </c>
      <c r="EC226">
        <v>1</v>
      </c>
      <c r="ED226">
        <v>3</v>
      </c>
      <c r="EE226">
        <v>0</v>
      </c>
      <c r="EF226">
        <v>0</v>
      </c>
      <c r="EG226">
        <v>1</v>
      </c>
      <c r="EH226">
        <v>28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3</v>
      </c>
      <c r="ET226">
        <v>2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1</v>
      </c>
      <c r="FC226">
        <v>0</v>
      </c>
      <c r="FD226">
        <v>3</v>
      </c>
      <c r="FE226">
        <v>3</v>
      </c>
      <c r="FF226">
        <v>0</v>
      </c>
      <c r="FG226">
        <v>0</v>
      </c>
      <c r="FH226">
        <v>0</v>
      </c>
      <c r="FI226">
        <v>1</v>
      </c>
      <c r="FJ226">
        <v>1</v>
      </c>
      <c r="FK226">
        <v>0</v>
      </c>
      <c r="FL226">
        <v>0</v>
      </c>
      <c r="FM226">
        <v>0</v>
      </c>
      <c r="FN226">
        <v>0</v>
      </c>
      <c r="FO226">
        <v>1</v>
      </c>
      <c r="FP226">
        <v>3</v>
      </c>
    </row>
    <row r="227" spans="1:172" ht="14.25">
      <c r="A227">
        <v>222</v>
      </c>
      <c r="B227" t="str">
        <f aca="true" t="shared" si="41" ref="B227:B233">"101701"</f>
        <v>101701</v>
      </c>
      <c r="C227" t="str">
        <f aca="true" t="shared" si="42" ref="C227:C233">"Biała"</f>
        <v>Biała</v>
      </c>
      <c r="D227" t="str">
        <f aca="true" t="shared" si="43" ref="D227:D258">"wieluński"</f>
        <v>wieluński</v>
      </c>
      <c r="E227" t="str">
        <f t="shared" si="35"/>
        <v>łódzkie</v>
      </c>
      <c r="F227">
        <v>1</v>
      </c>
      <c r="G227" t="str">
        <f>"Gminny Ośrodek Kultury i Sportu w Białej, Biała Druga 4a, 98-350 Biała"</f>
        <v>Gminny Ośrodek Kultury i Sportu w Białej, Biała Druga 4a, 98-350 Biała</v>
      </c>
      <c r="H227">
        <v>606</v>
      </c>
      <c r="I227">
        <v>606</v>
      </c>
      <c r="J227">
        <v>0</v>
      </c>
      <c r="K227">
        <v>430</v>
      </c>
      <c r="L227">
        <v>313</v>
      </c>
      <c r="M227">
        <v>117</v>
      </c>
      <c r="N227">
        <v>117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117</v>
      </c>
      <c r="Z227">
        <v>0</v>
      </c>
      <c r="AA227">
        <v>0</v>
      </c>
      <c r="AB227">
        <v>117</v>
      </c>
      <c r="AC227">
        <v>4</v>
      </c>
      <c r="AD227">
        <v>113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2</v>
      </c>
      <c r="AR227">
        <v>0</v>
      </c>
      <c r="AS227">
        <v>1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1</v>
      </c>
      <c r="BB227">
        <v>2</v>
      </c>
      <c r="BC227">
        <v>5</v>
      </c>
      <c r="BD227">
        <v>4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1</v>
      </c>
      <c r="BM227">
        <v>0</v>
      </c>
      <c r="BN227">
        <v>5</v>
      </c>
      <c r="BO227">
        <v>55</v>
      </c>
      <c r="BP227">
        <v>53</v>
      </c>
      <c r="BQ227">
        <v>1</v>
      </c>
      <c r="BR227">
        <v>0</v>
      </c>
      <c r="BS227">
        <v>1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55</v>
      </c>
      <c r="CA227">
        <v>4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4</v>
      </c>
      <c r="CL227">
        <v>4</v>
      </c>
      <c r="CM227">
        <v>3</v>
      </c>
      <c r="CN227">
        <v>0</v>
      </c>
      <c r="CO227">
        <v>0</v>
      </c>
      <c r="CP227">
        <v>1</v>
      </c>
      <c r="CQ227">
        <v>2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3</v>
      </c>
      <c r="CY227">
        <v>8</v>
      </c>
      <c r="CZ227">
        <v>5</v>
      </c>
      <c r="DA227">
        <v>1</v>
      </c>
      <c r="DB227">
        <v>0</v>
      </c>
      <c r="DC227">
        <v>1</v>
      </c>
      <c r="DD227">
        <v>0</v>
      </c>
      <c r="DE227">
        <v>1</v>
      </c>
      <c r="DF227">
        <v>0</v>
      </c>
      <c r="DG227">
        <v>0</v>
      </c>
      <c r="DH227">
        <v>0</v>
      </c>
      <c r="DI227">
        <v>0</v>
      </c>
      <c r="DJ227">
        <v>8</v>
      </c>
      <c r="DK227">
        <v>24</v>
      </c>
      <c r="DL227">
        <v>12</v>
      </c>
      <c r="DM227">
        <v>5</v>
      </c>
      <c r="DN227">
        <v>0</v>
      </c>
      <c r="DO227">
        <v>1</v>
      </c>
      <c r="DP227">
        <v>0</v>
      </c>
      <c r="DQ227">
        <v>3</v>
      </c>
      <c r="DR227">
        <v>1</v>
      </c>
      <c r="DS227">
        <v>0</v>
      </c>
      <c r="DT227">
        <v>0</v>
      </c>
      <c r="DU227">
        <v>2</v>
      </c>
      <c r="DV227">
        <v>24</v>
      </c>
      <c r="DW227">
        <v>12</v>
      </c>
      <c r="DX227">
        <v>10</v>
      </c>
      <c r="DY227">
        <v>0</v>
      </c>
      <c r="DZ227">
        <v>0</v>
      </c>
      <c r="EA227">
        <v>0</v>
      </c>
      <c r="EB227">
        <v>0</v>
      </c>
      <c r="EC227">
        <v>1</v>
      </c>
      <c r="ED227">
        <v>0</v>
      </c>
      <c r="EE227">
        <v>1</v>
      </c>
      <c r="EF227">
        <v>0</v>
      </c>
      <c r="EG227">
        <v>0</v>
      </c>
      <c r="EH227">
        <v>12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</row>
    <row r="228" spans="1:172" ht="14.25">
      <c r="A228">
        <v>223</v>
      </c>
      <c r="B228" t="str">
        <f t="shared" si="41"/>
        <v>101701</v>
      </c>
      <c r="C228" t="str">
        <f t="shared" si="42"/>
        <v>Biała</v>
      </c>
      <c r="D228" t="str">
        <f t="shared" si="43"/>
        <v>wieluński</v>
      </c>
      <c r="E228" t="str">
        <f t="shared" si="35"/>
        <v>łódzkie</v>
      </c>
      <c r="F228">
        <v>2</v>
      </c>
      <c r="G228" t="str">
        <f>"Urząd Gminy Biała, Biała Druga 4b, 98-350 Biała"</f>
        <v>Urząd Gminy Biała, Biała Druga 4b, 98-350 Biała</v>
      </c>
      <c r="H228">
        <v>552</v>
      </c>
      <c r="I228">
        <v>552</v>
      </c>
      <c r="J228">
        <v>0</v>
      </c>
      <c r="K228">
        <v>389</v>
      </c>
      <c r="L228">
        <v>286</v>
      </c>
      <c r="M228">
        <v>103</v>
      </c>
      <c r="N228">
        <v>103</v>
      </c>
      <c r="O228">
        <v>0</v>
      </c>
      <c r="P228">
        <v>0</v>
      </c>
      <c r="Q228">
        <v>3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103</v>
      </c>
      <c r="Z228">
        <v>0</v>
      </c>
      <c r="AA228">
        <v>0</v>
      </c>
      <c r="AB228">
        <v>103</v>
      </c>
      <c r="AC228">
        <v>2</v>
      </c>
      <c r="AD228">
        <v>101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1</v>
      </c>
      <c r="AN228">
        <v>0</v>
      </c>
      <c r="AO228">
        <v>0</v>
      </c>
      <c r="AP228">
        <v>1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6</v>
      </c>
      <c r="BD228">
        <v>5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1</v>
      </c>
      <c r="BN228">
        <v>6</v>
      </c>
      <c r="BO228">
        <v>57</v>
      </c>
      <c r="BP228">
        <v>52</v>
      </c>
      <c r="BQ228">
        <v>0</v>
      </c>
      <c r="BR228">
        <v>0</v>
      </c>
      <c r="BS228">
        <v>1</v>
      </c>
      <c r="BT228">
        <v>1</v>
      </c>
      <c r="BU228">
        <v>0</v>
      </c>
      <c r="BV228">
        <v>1</v>
      </c>
      <c r="BW228">
        <v>0</v>
      </c>
      <c r="BX228">
        <v>1</v>
      </c>
      <c r="BY228">
        <v>1</v>
      </c>
      <c r="BZ228">
        <v>57</v>
      </c>
      <c r="CA228">
        <v>1</v>
      </c>
      <c r="CB228">
        <v>0</v>
      </c>
      <c r="CC228">
        <v>0</v>
      </c>
      <c r="CD228">
        <v>0</v>
      </c>
      <c r="CE228">
        <v>0</v>
      </c>
      <c r="CF228">
        <v>1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1</v>
      </c>
      <c r="CM228">
        <v>2</v>
      </c>
      <c r="CN228">
        <v>0</v>
      </c>
      <c r="CO228">
        <v>0</v>
      </c>
      <c r="CP228">
        <v>0</v>
      </c>
      <c r="CQ228">
        <v>0</v>
      </c>
      <c r="CR228">
        <v>2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2</v>
      </c>
      <c r="CY228">
        <v>2</v>
      </c>
      <c r="CZ228">
        <v>2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2</v>
      </c>
      <c r="DK228">
        <v>15</v>
      </c>
      <c r="DL228">
        <v>4</v>
      </c>
      <c r="DM228">
        <v>5</v>
      </c>
      <c r="DN228">
        <v>0</v>
      </c>
      <c r="DO228">
        <v>5</v>
      </c>
      <c r="DP228">
        <v>0</v>
      </c>
      <c r="DQ228">
        <v>1</v>
      </c>
      <c r="DR228">
        <v>0</v>
      </c>
      <c r="DS228">
        <v>0</v>
      </c>
      <c r="DT228">
        <v>0</v>
      </c>
      <c r="DU228">
        <v>0</v>
      </c>
      <c r="DV228">
        <v>15</v>
      </c>
      <c r="DW228">
        <v>16</v>
      </c>
      <c r="DX228">
        <v>12</v>
      </c>
      <c r="DY228">
        <v>0</v>
      </c>
      <c r="DZ228">
        <v>0</v>
      </c>
      <c r="EA228">
        <v>0</v>
      </c>
      <c r="EB228">
        <v>0</v>
      </c>
      <c r="EC228">
        <v>3</v>
      </c>
      <c r="ED228">
        <v>1</v>
      </c>
      <c r="EE228">
        <v>0</v>
      </c>
      <c r="EF228">
        <v>0</v>
      </c>
      <c r="EG228">
        <v>0</v>
      </c>
      <c r="EH228">
        <v>16</v>
      </c>
      <c r="EI228">
        <v>1</v>
      </c>
      <c r="EJ228">
        <v>0</v>
      </c>
      <c r="EK228">
        <v>1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1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</row>
    <row r="229" spans="1:172" ht="14.25">
      <c r="A229">
        <v>224</v>
      </c>
      <c r="B229" t="str">
        <f t="shared" si="41"/>
        <v>101701</v>
      </c>
      <c r="C229" t="str">
        <f t="shared" si="42"/>
        <v>Biała</v>
      </c>
      <c r="D229" t="str">
        <f t="shared" si="43"/>
        <v>wieluński</v>
      </c>
      <c r="E229" t="str">
        <f t="shared" si="35"/>
        <v>łódzkie</v>
      </c>
      <c r="F229">
        <v>3</v>
      </c>
      <c r="G229" t="str">
        <f>"Remiza OSP w Białej Rządowej, Biała Rządowa 97a, 98-350 Biała"</f>
        <v>Remiza OSP w Białej Rządowej, Biała Rządowa 97a, 98-350 Biała</v>
      </c>
      <c r="H229">
        <v>696</v>
      </c>
      <c r="I229">
        <v>696</v>
      </c>
      <c r="J229">
        <v>0</v>
      </c>
      <c r="K229">
        <v>490</v>
      </c>
      <c r="L229">
        <v>344</v>
      </c>
      <c r="M229">
        <v>146</v>
      </c>
      <c r="N229">
        <v>146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146</v>
      </c>
      <c r="Z229">
        <v>0</v>
      </c>
      <c r="AA229">
        <v>0</v>
      </c>
      <c r="AB229">
        <v>146</v>
      </c>
      <c r="AC229">
        <v>11</v>
      </c>
      <c r="AD229">
        <v>135</v>
      </c>
      <c r="AE229">
        <v>2</v>
      </c>
      <c r="AF229">
        <v>2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2</v>
      </c>
      <c r="AQ229">
        <v>5</v>
      </c>
      <c r="AR229">
        <v>4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1</v>
      </c>
      <c r="BB229">
        <v>5</v>
      </c>
      <c r="BC229">
        <v>5</v>
      </c>
      <c r="BD229">
        <v>4</v>
      </c>
      <c r="BE229">
        <v>0</v>
      </c>
      <c r="BF229">
        <v>1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5</v>
      </c>
      <c r="BO229">
        <v>64</v>
      </c>
      <c r="BP229">
        <v>61</v>
      </c>
      <c r="BQ229">
        <v>0</v>
      </c>
      <c r="BR229">
        <v>0</v>
      </c>
      <c r="BS229">
        <v>3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64</v>
      </c>
      <c r="CA229">
        <v>6</v>
      </c>
      <c r="CB229">
        <v>1</v>
      </c>
      <c r="CC229">
        <v>0</v>
      </c>
      <c r="CD229">
        <v>2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3</v>
      </c>
      <c r="CL229">
        <v>6</v>
      </c>
      <c r="CM229">
        <v>3</v>
      </c>
      <c r="CN229">
        <v>3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3</v>
      </c>
      <c r="CY229">
        <v>9</v>
      </c>
      <c r="CZ229">
        <v>5</v>
      </c>
      <c r="DA229">
        <v>1</v>
      </c>
      <c r="DB229">
        <v>1</v>
      </c>
      <c r="DC229">
        <v>1</v>
      </c>
      <c r="DD229">
        <v>0</v>
      </c>
      <c r="DE229">
        <v>0</v>
      </c>
      <c r="DF229">
        <v>1</v>
      </c>
      <c r="DG229">
        <v>0</v>
      </c>
      <c r="DH229">
        <v>0</v>
      </c>
      <c r="DI229">
        <v>0</v>
      </c>
      <c r="DJ229">
        <v>9</v>
      </c>
      <c r="DK229">
        <v>14</v>
      </c>
      <c r="DL229">
        <v>9</v>
      </c>
      <c r="DM229">
        <v>2</v>
      </c>
      <c r="DN229">
        <v>1</v>
      </c>
      <c r="DO229">
        <v>1</v>
      </c>
      <c r="DP229">
        <v>0</v>
      </c>
      <c r="DQ229">
        <v>0</v>
      </c>
      <c r="DR229">
        <v>1</v>
      </c>
      <c r="DS229">
        <v>0</v>
      </c>
      <c r="DT229">
        <v>0</v>
      </c>
      <c r="DU229">
        <v>0</v>
      </c>
      <c r="DV229">
        <v>14</v>
      </c>
      <c r="DW229">
        <v>27</v>
      </c>
      <c r="DX229">
        <v>20</v>
      </c>
      <c r="DY229">
        <v>2</v>
      </c>
      <c r="DZ229">
        <v>0</v>
      </c>
      <c r="EA229">
        <v>0</v>
      </c>
      <c r="EB229">
        <v>1</v>
      </c>
      <c r="EC229">
        <v>0</v>
      </c>
      <c r="ED229">
        <v>2</v>
      </c>
      <c r="EE229">
        <v>0</v>
      </c>
      <c r="EF229">
        <v>1</v>
      </c>
      <c r="EG229">
        <v>1</v>
      </c>
      <c r="EH229">
        <v>27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</row>
    <row r="230" spans="1:172" ht="14.25">
      <c r="A230">
        <v>225</v>
      </c>
      <c r="B230" t="str">
        <f t="shared" si="41"/>
        <v>101701</v>
      </c>
      <c r="C230" t="str">
        <f t="shared" si="42"/>
        <v>Biała</v>
      </c>
      <c r="D230" t="str">
        <f t="shared" si="43"/>
        <v>wieluński</v>
      </c>
      <c r="E230" t="str">
        <f t="shared" si="35"/>
        <v>łódzkie</v>
      </c>
      <c r="F230">
        <v>4</v>
      </c>
      <c r="G230" t="str">
        <f>"Dom Ludowy w Kopydłowie, Kopydłów 36, 98-350 Biała"</f>
        <v>Dom Ludowy w Kopydłowie, Kopydłów 36, 98-350 Biała</v>
      </c>
      <c r="H230">
        <v>181</v>
      </c>
      <c r="I230">
        <v>181</v>
      </c>
      <c r="J230">
        <v>0</v>
      </c>
      <c r="K230">
        <v>130</v>
      </c>
      <c r="L230">
        <v>99</v>
      </c>
      <c r="M230">
        <v>31</v>
      </c>
      <c r="N230">
        <v>31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31</v>
      </c>
      <c r="Z230">
        <v>0</v>
      </c>
      <c r="AA230">
        <v>0</v>
      </c>
      <c r="AB230">
        <v>31</v>
      </c>
      <c r="AC230">
        <v>1</v>
      </c>
      <c r="AD230">
        <v>30</v>
      </c>
      <c r="AE230">
        <v>1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1</v>
      </c>
      <c r="AP230">
        <v>1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3</v>
      </c>
      <c r="BD230">
        <v>1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2</v>
      </c>
      <c r="BN230">
        <v>3</v>
      </c>
      <c r="BO230">
        <v>18</v>
      </c>
      <c r="BP230">
        <v>13</v>
      </c>
      <c r="BQ230">
        <v>1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1</v>
      </c>
      <c r="BY230">
        <v>3</v>
      </c>
      <c r="BZ230">
        <v>18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1</v>
      </c>
      <c r="DL230">
        <v>1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1</v>
      </c>
      <c r="DW230">
        <v>6</v>
      </c>
      <c r="DX230">
        <v>5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1</v>
      </c>
      <c r="EF230">
        <v>0</v>
      </c>
      <c r="EG230">
        <v>0</v>
      </c>
      <c r="EH230">
        <v>6</v>
      </c>
      <c r="EI230">
        <v>1</v>
      </c>
      <c r="EJ230">
        <v>0</v>
      </c>
      <c r="EK230">
        <v>1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1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</row>
    <row r="231" spans="1:172" ht="14.25">
      <c r="A231">
        <v>226</v>
      </c>
      <c r="B231" t="str">
        <f t="shared" si="41"/>
        <v>101701</v>
      </c>
      <c r="C231" t="str">
        <f t="shared" si="42"/>
        <v>Biała</v>
      </c>
      <c r="D231" t="str">
        <f t="shared" si="43"/>
        <v>wieluński</v>
      </c>
      <c r="E231" t="str">
        <f t="shared" si="35"/>
        <v>łódzkie</v>
      </c>
      <c r="F231">
        <v>5</v>
      </c>
      <c r="G231" t="str">
        <f>"Gminne Centrum Informacji w Łyskorni, Łyskornia 55, 98-350 Biała"</f>
        <v>Gminne Centrum Informacji w Łyskorni, Łyskornia 55, 98-350 Biała</v>
      </c>
      <c r="H231">
        <v>703</v>
      </c>
      <c r="I231">
        <v>703</v>
      </c>
      <c r="J231">
        <v>0</v>
      </c>
      <c r="K231">
        <v>479</v>
      </c>
      <c r="L231">
        <v>343</v>
      </c>
      <c r="M231">
        <v>136</v>
      </c>
      <c r="N231">
        <v>136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136</v>
      </c>
      <c r="Z231">
        <v>0</v>
      </c>
      <c r="AA231">
        <v>0</v>
      </c>
      <c r="AB231">
        <v>136</v>
      </c>
      <c r="AC231">
        <v>3</v>
      </c>
      <c r="AD231">
        <v>133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1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5</v>
      </c>
      <c r="BD231">
        <v>4</v>
      </c>
      <c r="BE231">
        <v>1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5</v>
      </c>
      <c r="BO231">
        <v>91</v>
      </c>
      <c r="BP231">
        <v>78</v>
      </c>
      <c r="BQ231">
        <v>1</v>
      </c>
      <c r="BR231">
        <v>1</v>
      </c>
      <c r="BS231">
        <v>9</v>
      </c>
      <c r="BT231">
        <v>0</v>
      </c>
      <c r="BU231">
        <v>2</v>
      </c>
      <c r="BV231">
        <v>0</v>
      </c>
      <c r="BW231">
        <v>0</v>
      </c>
      <c r="BX231">
        <v>0</v>
      </c>
      <c r="BY231">
        <v>0</v>
      </c>
      <c r="BZ231">
        <v>91</v>
      </c>
      <c r="CA231">
        <v>1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7</v>
      </c>
      <c r="CZ231">
        <v>4</v>
      </c>
      <c r="DA231">
        <v>1</v>
      </c>
      <c r="DB231">
        <v>1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1</v>
      </c>
      <c r="DI231">
        <v>0</v>
      </c>
      <c r="DJ231">
        <v>7</v>
      </c>
      <c r="DK231">
        <v>8</v>
      </c>
      <c r="DL231">
        <v>1</v>
      </c>
      <c r="DM231">
        <v>1</v>
      </c>
      <c r="DN231">
        <v>0</v>
      </c>
      <c r="DO231">
        <v>4</v>
      </c>
      <c r="DP231">
        <v>0</v>
      </c>
      <c r="DQ231">
        <v>0</v>
      </c>
      <c r="DR231">
        <v>1</v>
      </c>
      <c r="DS231">
        <v>0</v>
      </c>
      <c r="DT231">
        <v>0</v>
      </c>
      <c r="DU231">
        <v>1</v>
      </c>
      <c r="DV231">
        <v>8</v>
      </c>
      <c r="DW231">
        <v>17</v>
      </c>
      <c r="DX231">
        <v>15</v>
      </c>
      <c r="DY231">
        <v>0</v>
      </c>
      <c r="DZ231">
        <v>1</v>
      </c>
      <c r="EA231">
        <v>0</v>
      </c>
      <c r="EB231">
        <v>0</v>
      </c>
      <c r="EC231">
        <v>0</v>
      </c>
      <c r="ED231">
        <v>1</v>
      </c>
      <c r="EE231">
        <v>0</v>
      </c>
      <c r="EF231">
        <v>0</v>
      </c>
      <c r="EG231">
        <v>0</v>
      </c>
      <c r="EH231">
        <v>17</v>
      </c>
      <c r="EI231">
        <v>2</v>
      </c>
      <c r="EJ231">
        <v>0</v>
      </c>
      <c r="EK231">
        <v>2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2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</row>
    <row r="232" spans="1:172" ht="14.25">
      <c r="A232">
        <v>227</v>
      </c>
      <c r="B232" t="str">
        <f t="shared" si="41"/>
        <v>101701</v>
      </c>
      <c r="C232" t="str">
        <f t="shared" si="42"/>
        <v>Biała</v>
      </c>
      <c r="D232" t="str">
        <f t="shared" si="43"/>
        <v>wieluński</v>
      </c>
      <c r="E232" t="str">
        <f t="shared" si="35"/>
        <v>łódzkie</v>
      </c>
      <c r="F232">
        <v>6</v>
      </c>
      <c r="G232" t="str">
        <f>"Publiczna Szkoła Podstawowa w Młynisku, Młynisko 39, 98-350 Biała"</f>
        <v>Publiczna Szkoła Podstawowa w Młynisku, Młynisko 39, 98-350 Biała</v>
      </c>
      <c r="H232">
        <v>603</v>
      </c>
      <c r="I232">
        <v>603</v>
      </c>
      <c r="J232">
        <v>0</v>
      </c>
      <c r="K232">
        <v>420</v>
      </c>
      <c r="L232">
        <v>333</v>
      </c>
      <c r="M232">
        <v>87</v>
      </c>
      <c r="N232">
        <v>87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87</v>
      </c>
      <c r="Z232">
        <v>0</v>
      </c>
      <c r="AA232">
        <v>0</v>
      </c>
      <c r="AB232">
        <v>87</v>
      </c>
      <c r="AC232">
        <v>7</v>
      </c>
      <c r="AD232">
        <v>80</v>
      </c>
      <c r="AE232">
        <v>5</v>
      </c>
      <c r="AF232">
        <v>2</v>
      </c>
      <c r="AG232">
        <v>0</v>
      </c>
      <c r="AH232">
        <v>2</v>
      </c>
      <c r="AI232">
        <v>0</v>
      </c>
      <c r="AJ232">
        <v>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5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2</v>
      </c>
      <c r="BD232">
        <v>2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2</v>
      </c>
      <c r="BO232">
        <v>41</v>
      </c>
      <c r="BP232">
        <v>36</v>
      </c>
      <c r="BQ232">
        <v>1</v>
      </c>
      <c r="BR232">
        <v>1</v>
      </c>
      <c r="BS232">
        <v>1</v>
      </c>
      <c r="BT232">
        <v>0</v>
      </c>
      <c r="BU232">
        <v>0</v>
      </c>
      <c r="BV232">
        <v>1</v>
      </c>
      <c r="BW232">
        <v>0</v>
      </c>
      <c r="BX232">
        <v>1</v>
      </c>
      <c r="BY232">
        <v>0</v>
      </c>
      <c r="BZ232">
        <v>41</v>
      </c>
      <c r="CA232">
        <v>2</v>
      </c>
      <c r="CB232">
        <v>1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1</v>
      </c>
      <c r="CL232">
        <v>2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1</v>
      </c>
      <c r="CZ232">
        <v>1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1</v>
      </c>
      <c r="DK232">
        <v>7</v>
      </c>
      <c r="DL232">
        <v>2</v>
      </c>
      <c r="DM232">
        <v>3</v>
      </c>
      <c r="DN232">
        <v>2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7</v>
      </c>
      <c r="DW232">
        <v>20</v>
      </c>
      <c r="DX232">
        <v>17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3</v>
      </c>
      <c r="EE232">
        <v>0</v>
      </c>
      <c r="EF232">
        <v>0</v>
      </c>
      <c r="EG232">
        <v>0</v>
      </c>
      <c r="EH232">
        <v>20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2</v>
      </c>
      <c r="ET232">
        <v>2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2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</row>
    <row r="233" spans="1:172" ht="14.25">
      <c r="A233">
        <v>228</v>
      </c>
      <c r="B233" t="str">
        <f t="shared" si="41"/>
        <v>101701</v>
      </c>
      <c r="C233" t="str">
        <f t="shared" si="42"/>
        <v>Biała</v>
      </c>
      <c r="D233" t="str">
        <f t="shared" si="43"/>
        <v>wieluński</v>
      </c>
      <c r="E233" t="str">
        <f t="shared" si="35"/>
        <v>łódzkie</v>
      </c>
      <c r="F233">
        <v>7</v>
      </c>
      <c r="G233" t="str">
        <f>"Publiczna Szkoła Podstawowa w Naramicach, Naramice 125, 98-350 Biała"</f>
        <v>Publiczna Szkoła Podstawowa w Naramicach, Naramice 125, 98-350 Biała</v>
      </c>
      <c r="H233">
        <v>1136</v>
      </c>
      <c r="I233">
        <v>1136</v>
      </c>
      <c r="J233">
        <v>0</v>
      </c>
      <c r="K233">
        <v>794</v>
      </c>
      <c r="L233">
        <v>618</v>
      </c>
      <c r="M233">
        <v>176</v>
      </c>
      <c r="N233">
        <v>176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176</v>
      </c>
      <c r="Z233">
        <v>0</v>
      </c>
      <c r="AA233">
        <v>0</v>
      </c>
      <c r="AB233">
        <v>176</v>
      </c>
      <c r="AC233">
        <v>10</v>
      </c>
      <c r="AD233">
        <v>166</v>
      </c>
      <c r="AE233">
        <v>6</v>
      </c>
      <c r="AF233">
        <v>2</v>
      </c>
      <c r="AG233">
        <v>1</v>
      </c>
      <c r="AH233">
        <v>1</v>
      </c>
      <c r="AI233">
        <v>0</v>
      </c>
      <c r="AJ233">
        <v>1</v>
      </c>
      <c r="AK233">
        <v>0</v>
      </c>
      <c r="AL233">
        <v>0</v>
      </c>
      <c r="AM233">
        <v>0</v>
      </c>
      <c r="AN233">
        <v>1</v>
      </c>
      <c r="AO233">
        <v>0</v>
      </c>
      <c r="AP233">
        <v>6</v>
      </c>
      <c r="AQ233">
        <v>4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2</v>
      </c>
      <c r="BA233">
        <v>0</v>
      </c>
      <c r="BB233">
        <v>4</v>
      </c>
      <c r="BC233">
        <v>13</v>
      </c>
      <c r="BD233">
        <v>6</v>
      </c>
      <c r="BE233">
        <v>2</v>
      </c>
      <c r="BF233">
        <v>3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13</v>
      </c>
      <c r="BO233">
        <v>74</v>
      </c>
      <c r="BP233">
        <v>68</v>
      </c>
      <c r="BQ233">
        <v>3</v>
      </c>
      <c r="BR233">
        <v>0</v>
      </c>
      <c r="BS233">
        <v>3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74</v>
      </c>
      <c r="CA233">
        <v>6</v>
      </c>
      <c r="CB233">
        <v>2</v>
      </c>
      <c r="CC233">
        <v>0</v>
      </c>
      <c r="CD233">
        <v>2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6</v>
      </c>
      <c r="CM233">
        <v>3</v>
      </c>
      <c r="CN233">
        <v>2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1</v>
      </c>
      <c r="CW233">
        <v>0</v>
      </c>
      <c r="CX233">
        <v>3</v>
      </c>
      <c r="CY233">
        <v>11</v>
      </c>
      <c r="CZ233">
        <v>5</v>
      </c>
      <c r="DA233">
        <v>4</v>
      </c>
      <c r="DB233">
        <v>0</v>
      </c>
      <c r="DC233">
        <v>0</v>
      </c>
      <c r="DD233">
        <v>0</v>
      </c>
      <c r="DE233">
        <v>1</v>
      </c>
      <c r="DF233">
        <v>0</v>
      </c>
      <c r="DG233">
        <v>0</v>
      </c>
      <c r="DH233">
        <v>1</v>
      </c>
      <c r="DI233">
        <v>0</v>
      </c>
      <c r="DJ233">
        <v>11</v>
      </c>
      <c r="DK233">
        <v>12</v>
      </c>
      <c r="DL233">
        <v>3</v>
      </c>
      <c r="DM233">
        <v>6</v>
      </c>
      <c r="DN233">
        <v>0</v>
      </c>
      <c r="DO233">
        <v>2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1</v>
      </c>
      <c r="DV233">
        <v>12</v>
      </c>
      <c r="DW233">
        <v>30</v>
      </c>
      <c r="DX233">
        <v>20</v>
      </c>
      <c r="DY233">
        <v>1</v>
      </c>
      <c r="DZ233">
        <v>0</v>
      </c>
      <c r="EA233">
        <v>2</v>
      </c>
      <c r="EB233">
        <v>0</v>
      </c>
      <c r="EC233">
        <v>1</v>
      </c>
      <c r="ED233">
        <v>6</v>
      </c>
      <c r="EE233">
        <v>0</v>
      </c>
      <c r="EF233">
        <v>0</v>
      </c>
      <c r="EG233">
        <v>0</v>
      </c>
      <c r="EH233">
        <v>30</v>
      </c>
      <c r="EI233">
        <v>1</v>
      </c>
      <c r="EJ233">
        <v>0</v>
      </c>
      <c r="EK233">
        <v>1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1</v>
      </c>
      <c r="ES233">
        <v>6</v>
      </c>
      <c r="ET233">
        <v>2</v>
      </c>
      <c r="EU233">
        <v>1</v>
      </c>
      <c r="EV233">
        <v>0</v>
      </c>
      <c r="EW233">
        <v>0</v>
      </c>
      <c r="EX233">
        <v>1</v>
      </c>
      <c r="EY233">
        <v>1</v>
      </c>
      <c r="EZ233">
        <v>0</v>
      </c>
      <c r="FA233">
        <v>0</v>
      </c>
      <c r="FB233">
        <v>0</v>
      </c>
      <c r="FC233">
        <v>1</v>
      </c>
      <c r="FD233">
        <v>6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</row>
    <row r="234" spans="1:172" ht="14.25">
      <c r="A234">
        <v>229</v>
      </c>
      <c r="B234" t="str">
        <f>"101702"</f>
        <v>101702</v>
      </c>
      <c r="C234" t="str">
        <f>"Czarnożyły"</f>
        <v>Czarnożyły</v>
      </c>
      <c r="D234" t="str">
        <f t="shared" si="43"/>
        <v>wieluński</v>
      </c>
      <c r="E234" t="str">
        <f t="shared" si="35"/>
        <v>łódzkie</v>
      </c>
      <c r="F234">
        <v>1</v>
      </c>
      <c r="G234" t="str">
        <f>"Szkoła Podstawowa w Czarnożyłach, Czarnożyły 17a, 98-310 Czarnożyły"</f>
        <v>Szkoła Podstawowa w Czarnożyłach, Czarnożyły 17a, 98-310 Czarnożyły</v>
      </c>
      <c r="H234">
        <v>1280</v>
      </c>
      <c r="I234">
        <v>1280</v>
      </c>
      <c r="J234">
        <v>0</v>
      </c>
      <c r="K234">
        <v>910</v>
      </c>
      <c r="L234">
        <v>611</v>
      </c>
      <c r="M234">
        <v>299</v>
      </c>
      <c r="N234">
        <v>299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299</v>
      </c>
      <c r="Z234">
        <v>0</v>
      </c>
      <c r="AA234">
        <v>0</v>
      </c>
      <c r="AB234">
        <v>299</v>
      </c>
      <c r="AC234">
        <v>9</v>
      </c>
      <c r="AD234">
        <v>290</v>
      </c>
      <c r="AE234">
        <v>9</v>
      </c>
      <c r="AF234">
        <v>3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3</v>
      </c>
      <c r="AM234">
        <v>0</v>
      </c>
      <c r="AN234">
        <v>0</v>
      </c>
      <c r="AO234">
        <v>0</v>
      </c>
      <c r="AP234">
        <v>9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23</v>
      </c>
      <c r="BD234">
        <v>15</v>
      </c>
      <c r="BE234">
        <v>3</v>
      </c>
      <c r="BF234">
        <v>0</v>
      </c>
      <c r="BG234">
        <v>1</v>
      </c>
      <c r="BH234">
        <v>0</v>
      </c>
      <c r="BI234">
        <v>1</v>
      </c>
      <c r="BJ234">
        <v>0</v>
      </c>
      <c r="BK234">
        <v>0</v>
      </c>
      <c r="BL234">
        <v>0</v>
      </c>
      <c r="BM234">
        <v>3</v>
      </c>
      <c r="BN234">
        <v>23</v>
      </c>
      <c r="BO234">
        <v>128</v>
      </c>
      <c r="BP234">
        <v>115</v>
      </c>
      <c r="BQ234">
        <v>5</v>
      </c>
      <c r="BR234">
        <v>1</v>
      </c>
      <c r="BS234">
        <v>5</v>
      </c>
      <c r="BT234">
        <v>1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128</v>
      </c>
      <c r="CA234">
        <v>4</v>
      </c>
      <c r="CB234">
        <v>1</v>
      </c>
      <c r="CC234">
        <v>2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0</v>
      </c>
      <c r="CL234">
        <v>4</v>
      </c>
      <c r="CM234">
        <v>3</v>
      </c>
      <c r="CN234">
        <v>3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3</v>
      </c>
      <c r="CY234">
        <v>12</v>
      </c>
      <c r="CZ234">
        <v>10</v>
      </c>
      <c r="DA234">
        <v>1</v>
      </c>
      <c r="DB234">
        <v>0</v>
      </c>
      <c r="DC234">
        <v>0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0</v>
      </c>
      <c r="DJ234">
        <v>12</v>
      </c>
      <c r="DK234">
        <v>37</v>
      </c>
      <c r="DL234">
        <v>19</v>
      </c>
      <c r="DM234">
        <v>9</v>
      </c>
      <c r="DN234">
        <v>0</v>
      </c>
      <c r="DO234">
        <v>6</v>
      </c>
      <c r="DP234">
        <v>0</v>
      </c>
      <c r="DQ234">
        <v>1</v>
      </c>
      <c r="DR234">
        <v>0</v>
      </c>
      <c r="DS234">
        <v>1</v>
      </c>
      <c r="DT234">
        <v>1</v>
      </c>
      <c r="DU234">
        <v>0</v>
      </c>
      <c r="DV234">
        <v>37</v>
      </c>
      <c r="DW234">
        <v>71</v>
      </c>
      <c r="DX234">
        <v>51</v>
      </c>
      <c r="DY234">
        <v>3</v>
      </c>
      <c r="DZ234">
        <v>2</v>
      </c>
      <c r="EA234">
        <v>0</v>
      </c>
      <c r="EB234">
        <v>1</v>
      </c>
      <c r="EC234">
        <v>1</v>
      </c>
      <c r="ED234">
        <v>11</v>
      </c>
      <c r="EE234">
        <v>2</v>
      </c>
      <c r="EF234">
        <v>0</v>
      </c>
      <c r="EG234">
        <v>0</v>
      </c>
      <c r="EH234">
        <v>71</v>
      </c>
      <c r="EI234">
        <v>2</v>
      </c>
      <c r="EJ234">
        <v>0</v>
      </c>
      <c r="EK234">
        <v>1</v>
      </c>
      <c r="EL234">
        <v>0</v>
      </c>
      <c r="EM234">
        <v>0</v>
      </c>
      <c r="EN234">
        <v>0</v>
      </c>
      <c r="EO234">
        <v>1</v>
      </c>
      <c r="EP234">
        <v>0</v>
      </c>
      <c r="EQ234">
        <v>0</v>
      </c>
      <c r="ER234">
        <v>2</v>
      </c>
      <c r="ES234">
        <v>1</v>
      </c>
      <c r="ET234">
        <v>1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1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</row>
    <row r="235" spans="1:172" ht="14.25">
      <c r="A235">
        <v>230</v>
      </c>
      <c r="B235" t="str">
        <f>"101702"</f>
        <v>101702</v>
      </c>
      <c r="C235" t="str">
        <f>"Czarnożyły"</f>
        <v>Czarnożyły</v>
      </c>
      <c r="D235" t="str">
        <f t="shared" si="43"/>
        <v>wieluński</v>
      </c>
      <c r="E235" t="str">
        <f t="shared" si="35"/>
        <v>łódzkie</v>
      </c>
      <c r="F235">
        <v>2</v>
      </c>
      <c r="G235" t="str">
        <f>"Szkoła Podstawowa w Łagiewnikach, Łagiewniki 89, 98-310 Czarnożyły"</f>
        <v>Szkoła Podstawowa w Łagiewnikach, Łagiewniki 89, 98-310 Czarnożyły</v>
      </c>
      <c r="H235">
        <v>990</v>
      </c>
      <c r="I235">
        <v>990</v>
      </c>
      <c r="J235">
        <v>0</v>
      </c>
      <c r="K235">
        <v>700</v>
      </c>
      <c r="L235">
        <v>566</v>
      </c>
      <c r="M235">
        <v>134</v>
      </c>
      <c r="N235">
        <v>134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134</v>
      </c>
      <c r="Z235">
        <v>0</v>
      </c>
      <c r="AA235">
        <v>0</v>
      </c>
      <c r="AB235">
        <v>134</v>
      </c>
      <c r="AC235">
        <v>1</v>
      </c>
      <c r="AD235">
        <v>133</v>
      </c>
      <c r="AE235">
        <v>2</v>
      </c>
      <c r="AF235">
        <v>1</v>
      </c>
      <c r="AG235">
        <v>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2</v>
      </c>
      <c r="AQ235">
        <v>2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0</v>
      </c>
      <c r="AY235">
        <v>0</v>
      </c>
      <c r="AZ235">
        <v>1</v>
      </c>
      <c r="BA235">
        <v>0</v>
      </c>
      <c r="BB235">
        <v>2</v>
      </c>
      <c r="BC235">
        <v>10</v>
      </c>
      <c r="BD235">
        <v>3</v>
      </c>
      <c r="BE235">
        <v>3</v>
      </c>
      <c r="BF235">
        <v>0</v>
      </c>
      <c r="BG235">
        <v>0</v>
      </c>
      <c r="BH235">
        <v>0</v>
      </c>
      <c r="BI235">
        <v>1</v>
      </c>
      <c r="BJ235">
        <v>0</v>
      </c>
      <c r="BK235">
        <v>0</v>
      </c>
      <c r="BL235">
        <v>3</v>
      </c>
      <c r="BM235">
        <v>0</v>
      </c>
      <c r="BN235">
        <v>10</v>
      </c>
      <c r="BO235">
        <v>69</v>
      </c>
      <c r="BP235">
        <v>62</v>
      </c>
      <c r="BQ235">
        <v>1</v>
      </c>
      <c r="BR235">
        <v>2</v>
      </c>
      <c r="BS235">
        <v>4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69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5</v>
      </c>
      <c r="CZ235">
        <v>2</v>
      </c>
      <c r="DA235">
        <v>0</v>
      </c>
      <c r="DB235">
        <v>0</v>
      </c>
      <c r="DC235">
        <v>1</v>
      </c>
      <c r="DD235">
        <v>0</v>
      </c>
      <c r="DE235">
        <v>1</v>
      </c>
      <c r="DF235">
        <v>0</v>
      </c>
      <c r="DG235">
        <v>0</v>
      </c>
      <c r="DH235">
        <v>0</v>
      </c>
      <c r="DI235">
        <v>1</v>
      </c>
      <c r="DJ235">
        <v>5</v>
      </c>
      <c r="DK235">
        <v>4</v>
      </c>
      <c r="DL235">
        <v>0</v>
      </c>
      <c r="DM235">
        <v>1</v>
      </c>
      <c r="DN235">
        <v>0</v>
      </c>
      <c r="DO235">
        <v>2</v>
      </c>
      <c r="DP235">
        <v>0</v>
      </c>
      <c r="DQ235">
        <v>0</v>
      </c>
      <c r="DR235">
        <v>0</v>
      </c>
      <c r="DS235">
        <v>1</v>
      </c>
      <c r="DT235">
        <v>0</v>
      </c>
      <c r="DU235">
        <v>0</v>
      </c>
      <c r="DV235">
        <v>4</v>
      </c>
      <c r="DW235">
        <v>39</v>
      </c>
      <c r="DX235">
        <v>20</v>
      </c>
      <c r="DY235">
        <v>3</v>
      </c>
      <c r="DZ235">
        <v>0</v>
      </c>
      <c r="EA235">
        <v>0</v>
      </c>
      <c r="EB235">
        <v>0</v>
      </c>
      <c r="EC235">
        <v>0</v>
      </c>
      <c r="ED235">
        <v>15</v>
      </c>
      <c r="EE235">
        <v>0</v>
      </c>
      <c r="EF235">
        <v>1</v>
      </c>
      <c r="EG235">
        <v>0</v>
      </c>
      <c r="EH235">
        <v>39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2</v>
      </c>
      <c r="ET235">
        <v>1</v>
      </c>
      <c r="EU235">
        <v>1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2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</row>
    <row r="236" spans="1:172" ht="14.25">
      <c r="A236">
        <v>231</v>
      </c>
      <c r="B236" t="str">
        <f>"101702"</f>
        <v>101702</v>
      </c>
      <c r="C236" t="str">
        <f>"Czarnożyły"</f>
        <v>Czarnożyły</v>
      </c>
      <c r="D236" t="str">
        <f t="shared" si="43"/>
        <v>wieluński</v>
      </c>
      <c r="E236" t="str">
        <f t="shared" si="35"/>
        <v>łódzkie</v>
      </c>
      <c r="F236">
        <v>3</v>
      </c>
      <c r="G236" t="str">
        <f>"Świetlica Wiejska w Wydrzynie, Wydrzyn 59a, 98-310 Czarnożyły"</f>
        <v>Świetlica Wiejska w Wydrzynie, Wydrzyn 59a, 98-310 Czarnożyły</v>
      </c>
      <c r="H236">
        <v>1007</v>
      </c>
      <c r="I236">
        <v>1007</v>
      </c>
      <c r="J236">
        <v>0</v>
      </c>
      <c r="K236">
        <v>709</v>
      </c>
      <c r="L236">
        <v>502</v>
      </c>
      <c r="M236">
        <v>207</v>
      </c>
      <c r="N236">
        <v>207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207</v>
      </c>
      <c r="Z236">
        <v>0</v>
      </c>
      <c r="AA236">
        <v>0</v>
      </c>
      <c r="AB236">
        <v>207</v>
      </c>
      <c r="AC236">
        <v>13</v>
      </c>
      <c r="AD236">
        <v>194</v>
      </c>
      <c r="AE236">
        <v>7</v>
      </c>
      <c r="AF236">
        <v>2</v>
      </c>
      <c r="AG236">
        <v>1</v>
      </c>
      <c r="AH236">
        <v>2</v>
      </c>
      <c r="AI236">
        <v>0</v>
      </c>
      <c r="AJ236">
        <v>1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7</v>
      </c>
      <c r="AQ236">
        <v>4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1</v>
      </c>
      <c r="AY236">
        <v>0</v>
      </c>
      <c r="AZ236">
        <v>1</v>
      </c>
      <c r="BA236">
        <v>1</v>
      </c>
      <c r="BB236">
        <v>4</v>
      </c>
      <c r="BC236">
        <v>8</v>
      </c>
      <c r="BD236">
        <v>5</v>
      </c>
      <c r="BE236">
        <v>1</v>
      </c>
      <c r="BF236">
        <v>0</v>
      </c>
      <c r="BG236">
        <v>1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1</v>
      </c>
      <c r="BN236">
        <v>8</v>
      </c>
      <c r="BO236">
        <v>85</v>
      </c>
      <c r="BP236">
        <v>82</v>
      </c>
      <c r="BQ236">
        <v>2</v>
      </c>
      <c r="BR236">
        <v>0</v>
      </c>
      <c r="BS236">
        <v>1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85</v>
      </c>
      <c r="CA236">
        <v>3</v>
      </c>
      <c r="CB236">
        <v>0</v>
      </c>
      <c r="CC236">
        <v>0</v>
      </c>
      <c r="CD236">
        <v>1</v>
      </c>
      <c r="CE236">
        <v>0</v>
      </c>
      <c r="CF236">
        <v>0</v>
      </c>
      <c r="CG236">
        <v>1</v>
      </c>
      <c r="CH236">
        <v>0</v>
      </c>
      <c r="CI236">
        <v>1</v>
      </c>
      <c r="CJ236">
        <v>0</v>
      </c>
      <c r="CK236">
        <v>0</v>
      </c>
      <c r="CL236">
        <v>3</v>
      </c>
      <c r="CM236">
        <v>6</v>
      </c>
      <c r="CN236">
        <v>4</v>
      </c>
      <c r="CO236">
        <v>0</v>
      </c>
      <c r="CP236">
        <v>0</v>
      </c>
      <c r="CQ236">
        <v>0</v>
      </c>
      <c r="CR236">
        <v>0</v>
      </c>
      <c r="CS236">
        <v>2</v>
      </c>
      <c r="CT236">
        <v>0</v>
      </c>
      <c r="CU236">
        <v>0</v>
      </c>
      <c r="CV236">
        <v>0</v>
      </c>
      <c r="CW236">
        <v>0</v>
      </c>
      <c r="CX236">
        <v>6</v>
      </c>
      <c r="CY236">
        <v>8</v>
      </c>
      <c r="CZ236">
        <v>3</v>
      </c>
      <c r="DA236">
        <v>0</v>
      </c>
      <c r="DB236">
        <v>0</v>
      </c>
      <c r="DC236">
        <v>0</v>
      </c>
      <c r="DD236">
        <v>1</v>
      </c>
      <c r="DE236">
        <v>2</v>
      </c>
      <c r="DF236">
        <v>0</v>
      </c>
      <c r="DG236">
        <v>1</v>
      </c>
      <c r="DH236">
        <v>0</v>
      </c>
      <c r="DI236">
        <v>1</v>
      </c>
      <c r="DJ236">
        <v>8</v>
      </c>
      <c r="DK236">
        <v>14</v>
      </c>
      <c r="DL236">
        <v>11</v>
      </c>
      <c r="DM236">
        <v>2</v>
      </c>
      <c r="DN236">
        <v>0</v>
      </c>
      <c r="DO236">
        <v>1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14</v>
      </c>
      <c r="DW236">
        <v>53</v>
      </c>
      <c r="DX236">
        <v>32</v>
      </c>
      <c r="DY236">
        <v>1</v>
      </c>
      <c r="DZ236">
        <v>0</v>
      </c>
      <c r="EA236">
        <v>0</v>
      </c>
      <c r="EB236">
        <v>0</v>
      </c>
      <c r="EC236">
        <v>0</v>
      </c>
      <c r="ED236">
        <v>19</v>
      </c>
      <c r="EE236">
        <v>1</v>
      </c>
      <c r="EF236">
        <v>0</v>
      </c>
      <c r="EG236">
        <v>0</v>
      </c>
      <c r="EH236">
        <v>53</v>
      </c>
      <c r="EI236">
        <v>2</v>
      </c>
      <c r="EJ236">
        <v>0</v>
      </c>
      <c r="EK236">
        <v>2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2</v>
      </c>
      <c r="ES236">
        <v>4</v>
      </c>
      <c r="ET236">
        <v>2</v>
      </c>
      <c r="EU236">
        <v>2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4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</row>
    <row r="237" spans="1:172" ht="14.25">
      <c r="A237">
        <v>232</v>
      </c>
      <c r="B237" t="str">
        <f>"101702"</f>
        <v>101702</v>
      </c>
      <c r="C237" t="str">
        <f>"Czarnożyły"</f>
        <v>Czarnożyły</v>
      </c>
      <c r="D237" t="str">
        <f t="shared" si="43"/>
        <v>wieluński</v>
      </c>
      <c r="E237" t="str">
        <f t="shared" si="35"/>
        <v>łódzkie</v>
      </c>
      <c r="F237">
        <v>4</v>
      </c>
      <c r="G237" t="str">
        <f>"Specjalny Ośrodek Szkolno-Wychowawczy w Gromadzicach, Gromadzice 49, 98-310 Czarnożyły"</f>
        <v>Specjalny Ośrodek Szkolno-Wychowawczy w Gromadzicach, Gromadzice 49, 98-310 Czarnożyły</v>
      </c>
      <c r="H237">
        <v>389</v>
      </c>
      <c r="I237">
        <v>389</v>
      </c>
      <c r="J237">
        <v>0</v>
      </c>
      <c r="K237">
        <v>270</v>
      </c>
      <c r="L237">
        <v>198</v>
      </c>
      <c r="M237">
        <v>72</v>
      </c>
      <c r="N237">
        <v>72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72</v>
      </c>
      <c r="Z237">
        <v>0</v>
      </c>
      <c r="AA237">
        <v>0</v>
      </c>
      <c r="AB237">
        <v>72</v>
      </c>
      <c r="AC237">
        <v>2</v>
      </c>
      <c r="AD237">
        <v>70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4</v>
      </c>
      <c r="BD237">
        <v>3</v>
      </c>
      <c r="BE237">
        <v>1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4</v>
      </c>
      <c r="BO237">
        <v>44</v>
      </c>
      <c r="BP237">
        <v>40</v>
      </c>
      <c r="BQ237">
        <v>2</v>
      </c>
      <c r="BR237">
        <v>0</v>
      </c>
      <c r="BS237">
        <v>2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44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3</v>
      </c>
      <c r="CZ237">
        <v>1</v>
      </c>
      <c r="DA237">
        <v>1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1</v>
      </c>
      <c r="DI237">
        <v>0</v>
      </c>
      <c r="DJ237">
        <v>3</v>
      </c>
      <c r="DK237">
        <v>3</v>
      </c>
      <c r="DL237">
        <v>1</v>
      </c>
      <c r="DM237">
        <v>2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3</v>
      </c>
      <c r="DW237">
        <v>16</v>
      </c>
      <c r="DX237">
        <v>14</v>
      </c>
      <c r="DY237">
        <v>1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1</v>
      </c>
      <c r="EH237">
        <v>16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</row>
    <row r="238" spans="1:172" ht="14.25">
      <c r="A238">
        <v>233</v>
      </c>
      <c r="B238" t="str">
        <f aca="true" t="shared" si="44" ref="B238:B243">"101703"</f>
        <v>101703</v>
      </c>
      <c r="C238" t="str">
        <f aca="true" t="shared" si="45" ref="C238:C243">"Konopnica"</f>
        <v>Konopnica</v>
      </c>
      <c r="D238" t="str">
        <f t="shared" si="43"/>
        <v>wieluński</v>
      </c>
      <c r="E238" t="str">
        <f t="shared" si="35"/>
        <v>łódzkie</v>
      </c>
      <c r="F238">
        <v>1</v>
      </c>
      <c r="G238" t="str">
        <f>"Urząd Gminy Konopnica, Rynek 15, 98-313 Konopnica"</f>
        <v>Urząd Gminy Konopnica, Rynek 15, 98-313 Konopnica</v>
      </c>
      <c r="H238">
        <v>975</v>
      </c>
      <c r="I238">
        <v>975</v>
      </c>
      <c r="J238">
        <v>0</v>
      </c>
      <c r="K238">
        <v>680</v>
      </c>
      <c r="L238">
        <v>399</v>
      </c>
      <c r="M238">
        <v>281</v>
      </c>
      <c r="N238">
        <v>281</v>
      </c>
      <c r="O238">
        <v>0</v>
      </c>
      <c r="P238">
        <v>1</v>
      </c>
      <c r="Q238">
        <v>3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281</v>
      </c>
      <c r="Z238">
        <v>0</v>
      </c>
      <c r="AA238">
        <v>0</v>
      </c>
      <c r="AB238">
        <v>281</v>
      </c>
      <c r="AC238">
        <v>7</v>
      </c>
      <c r="AD238">
        <v>274</v>
      </c>
      <c r="AE238">
        <v>3</v>
      </c>
      <c r="AF238">
        <v>2</v>
      </c>
      <c r="AG238">
        <v>0</v>
      </c>
      <c r="AH238">
        <v>1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3</v>
      </c>
      <c r="AQ238">
        <v>1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1</v>
      </c>
      <c r="BA238">
        <v>0</v>
      </c>
      <c r="BB238">
        <v>1</v>
      </c>
      <c r="BC238">
        <v>22</v>
      </c>
      <c r="BD238">
        <v>10</v>
      </c>
      <c r="BE238">
        <v>8</v>
      </c>
      <c r="BF238">
        <v>3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1</v>
      </c>
      <c r="BN238">
        <v>22</v>
      </c>
      <c r="BO238">
        <v>93</v>
      </c>
      <c r="BP238">
        <v>87</v>
      </c>
      <c r="BQ238">
        <v>0</v>
      </c>
      <c r="BR238">
        <v>2</v>
      </c>
      <c r="BS238">
        <v>2</v>
      </c>
      <c r="BT238">
        <v>0</v>
      </c>
      <c r="BU238">
        <v>0</v>
      </c>
      <c r="BV238">
        <v>0</v>
      </c>
      <c r="BW238">
        <v>0</v>
      </c>
      <c r="BX238">
        <v>1</v>
      </c>
      <c r="BY238">
        <v>1</v>
      </c>
      <c r="BZ238">
        <v>93</v>
      </c>
      <c r="CA238">
        <v>4</v>
      </c>
      <c r="CB238">
        <v>1</v>
      </c>
      <c r="CC238">
        <v>1</v>
      </c>
      <c r="CD238">
        <v>1</v>
      </c>
      <c r="CE238">
        <v>0</v>
      </c>
      <c r="CF238">
        <v>0</v>
      </c>
      <c r="CG238">
        <v>0</v>
      </c>
      <c r="CH238">
        <v>1</v>
      </c>
      <c r="CI238">
        <v>0</v>
      </c>
      <c r="CJ238">
        <v>0</v>
      </c>
      <c r="CK238">
        <v>0</v>
      </c>
      <c r="CL238">
        <v>4</v>
      </c>
      <c r="CM238">
        <v>3</v>
      </c>
      <c r="CN238">
        <v>2</v>
      </c>
      <c r="CO238">
        <v>0</v>
      </c>
      <c r="CP238">
        <v>0</v>
      </c>
      <c r="CQ238">
        <v>0</v>
      </c>
      <c r="CR238">
        <v>0</v>
      </c>
      <c r="CS238">
        <v>1</v>
      </c>
      <c r="CT238">
        <v>0</v>
      </c>
      <c r="CU238">
        <v>0</v>
      </c>
      <c r="CV238">
        <v>0</v>
      </c>
      <c r="CW238">
        <v>0</v>
      </c>
      <c r="CX238">
        <v>3</v>
      </c>
      <c r="CY238">
        <v>8</v>
      </c>
      <c r="CZ238">
        <v>7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8</v>
      </c>
      <c r="DK238">
        <v>49</v>
      </c>
      <c r="DL238">
        <v>22</v>
      </c>
      <c r="DM238">
        <v>5</v>
      </c>
      <c r="DN238">
        <v>1</v>
      </c>
      <c r="DO238">
        <v>19</v>
      </c>
      <c r="DP238">
        <v>0</v>
      </c>
      <c r="DQ238">
        <v>0</v>
      </c>
      <c r="DR238">
        <v>0</v>
      </c>
      <c r="DS238">
        <v>0</v>
      </c>
      <c r="DT238">
        <v>1</v>
      </c>
      <c r="DU238">
        <v>1</v>
      </c>
      <c r="DV238">
        <v>49</v>
      </c>
      <c r="DW238">
        <v>85</v>
      </c>
      <c r="DX238">
        <v>79</v>
      </c>
      <c r="DY238">
        <v>0</v>
      </c>
      <c r="DZ238">
        <v>0</v>
      </c>
      <c r="EA238">
        <v>0</v>
      </c>
      <c r="EB238">
        <v>3</v>
      </c>
      <c r="EC238">
        <v>0</v>
      </c>
      <c r="ED238">
        <v>3</v>
      </c>
      <c r="EE238">
        <v>0</v>
      </c>
      <c r="EF238">
        <v>0</v>
      </c>
      <c r="EG238">
        <v>0</v>
      </c>
      <c r="EH238">
        <v>85</v>
      </c>
      <c r="EI238">
        <v>2</v>
      </c>
      <c r="EJ238">
        <v>0</v>
      </c>
      <c r="EK238">
        <v>0</v>
      </c>
      <c r="EL238">
        <v>0</v>
      </c>
      <c r="EM238">
        <v>1</v>
      </c>
      <c r="EN238">
        <v>0</v>
      </c>
      <c r="EO238">
        <v>1</v>
      </c>
      <c r="EP238">
        <v>0</v>
      </c>
      <c r="EQ238">
        <v>0</v>
      </c>
      <c r="ER238">
        <v>2</v>
      </c>
      <c r="ES238">
        <v>4</v>
      </c>
      <c r="ET238">
        <v>4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4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</row>
    <row r="239" spans="1:172" ht="14.25">
      <c r="A239">
        <v>234</v>
      </c>
      <c r="B239" t="str">
        <f t="shared" si="44"/>
        <v>101703</v>
      </c>
      <c r="C239" t="str">
        <f t="shared" si="45"/>
        <v>Konopnica</v>
      </c>
      <c r="D239" t="str">
        <f t="shared" si="43"/>
        <v>wieluński</v>
      </c>
      <c r="E239" t="str">
        <f t="shared" si="35"/>
        <v>łódzkie</v>
      </c>
      <c r="F239">
        <v>2</v>
      </c>
      <c r="G239" t="str">
        <f>"Szkoła Podstawowa, Rychłocice 108a, 98-313 Konopnica"</f>
        <v>Szkoła Podstawowa, Rychłocice 108a, 98-313 Konopnica</v>
      </c>
      <c r="H239">
        <v>731</v>
      </c>
      <c r="I239">
        <v>731</v>
      </c>
      <c r="J239">
        <v>0</v>
      </c>
      <c r="K239">
        <v>520</v>
      </c>
      <c r="L239">
        <v>332</v>
      </c>
      <c r="M239">
        <v>188</v>
      </c>
      <c r="N239">
        <v>188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188</v>
      </c>
      <c r="Z239">
        <v>0</v>
      </c>
      <c r="AA239">
        <v>0</v>
      </c>
      <c r="AB239">
        <v>188</v>
      </c>
      <c r="AC239">
        <v>11</v>
      </c>
      <c r="AD239">
        <v>177</v>
      </c>
      <c r="AE239">
        <v>3</v>
      </c>
      <c r="AF239">
        <v>1</v>
      </c>
      <c r="AG239">
        <v>0</v>
      </c>
      <c r="AH239">
        <v>1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1</v>
      </c>
      <c r="AO239">
        <v>0</v>
      </c>
      <c r="AP239">
        <v>3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10</v>
      </c>
      <c r="BD239">
        <v>6</v>
      </c>
      <c r="BE239">
        <v>1</v>
      </c>
      <c r="BF239">
        <v>1</v>
      </c>
      <c r="BG239">
        <v>1</v>
      </c>
      <c r="BH239">
        <v>0</v>
      </c>
      <c r="BI239">
        <v>0</v>
      </c>
      <c r="BJ239">
        <v>0</v>
      </c>
      <c r="BK239">
        <v>0</v>
      </c>
      <c r="BL239">
        <v>1</v>
      </c>
      <c r="BM239">
        <v>0</v>
      </c>
      <c r="BN239">
        <v>10</v>
      </c>
      <c r="BO239">
        <v>55</v>
      </c>
      <c r="BP239">
        <v>48</v>
      </c>
      <c r="BQ239">
        <v>3</v>
      </c>
      <c r="BR239">
        <v>0</v>
      </c>
      <c r="BS239">
        <v>4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55</v>
      </c>
      <c r="CA239">
        <v>4</v>
      </c>
      <c r="CB239">
        <v>1</v>
      </c>
      <c r="CC239">
        <v>0</v>
      </c>
      <c r="CD239">
        <v>0</v>
      </c>
      <c r="CE239">
        <v>0</v>
      </c>
      <c r="CF239">
        <v>0</v>
      </c>
      <c r="CG239">
        <v>1</v>
      </c>
      <c r="CH239">
        <v>1</v>
      </c>
      <c r="CI239">
        <v>0</v>
      </c>
      <c r="CJ239">
        <v>1</v>
      </c>
      <c r="CK239">
        <v>0</v>
      </c>
      <c r="CL239">
        <v>4</v>
      </c>
      <c r="CM239">
        <v>2</v>
      </c>
      <c r="CN239">
        <v>1</v>
      </c>
      <c r="CO239">
        <v>1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2</v>
      </c>
      <c r="CY239">
        <v>6</v>
      </c>
      <c r="CZ239">
        <v>3</v>
      </c>
      <c r="DA239">
        <v>0</v>
      </c>
      <c r="DB239">
        <v>0</v>
      </c>
      <c r="DC239">
        <v>0</v>
      </c>
      <c r="DD239">
        <v>2</v>
      </c>
      <c r="DE239">
        <v>0</v>
      </c>
      <c r="DF239">
        <v>0</v>
      </c>
      <c r="DG239">
        <v>0</v>
      </c>
      <c r="DH239">
        <v>0</v>
      </c>
      <c r="DI239">
        <v>1</v>
      </c>
      <c r="DJ239">
        <v>6</v>
      </c>
      <c r="DK239">
        <v>32</v>
      </c>
      <c r="DL239">
        <v>19</v>
      </c>
      <c r="DM239">
        <v>6</v>
      </c>
      <c r="DN239">
        <v>0</v>
      </c>
      <c r="DO239">
        <v>6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1</v>
      </c>
      <c r="DV239">
        <v>32</v>
      </c>
      <c r="DW239">
        <v>60</v>
      </c>
      <c r="DX239">
        <v>60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60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5</v>
      </c>
      <c r="ET239">
        <v>5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5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</row>
    <row r="240" spans="1:172" ht="14.25">
      <c r="A240">
        <v>235</v>
      </c>
      <c r="B240" t="str">
        <f t="shared" si="44"/>
        <v>101703</v>
      </c>
      <c r="C240" t="str">
        <f t="shared" si="45"/>
        <v>Konopnica</v>
      </c>
      <c r="D240" t="str">
        <f t="shared" si="43"/>
        <v>wieluński</v>
      </c>
      <c r="E240" t="str">
        <f t="shared" si="35"/>
        <v>łódzkie</v>
      </c>
      <c r="F240">
        <v>3</v>
      </c>
      <c r="G240" t="str">
        <f>"Szkoła Podstawowa, Szynkielów 53, 98-313 Konopnica"</f>
        <v>Szkoła Podstawowa, Szynkielów 53, 98-313 Konopnica</v>
      </c>
      <c r="H240">
        <v>712</v>
      </c>
      <c r="I240">
        <v>712</v>
      </c>
      <c r="J240">
        <v>0</v>
      </c>
      <c r="K240">
        <v>500</v>
      </c>
      <c r="L240">
        <v>338</v>
      </c>
      <c r="M240">
        <v>162</v>
      </c>
      <c r="N240">
        <v>162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162</v>
      </c>
      <c r="Z240">
        <v>0</v>
      </c>
      <c r="AA240">
        <v>0</v>
      </c>
      <c r="AB240">
        <v>162</v>
      </c>
      <c r="AC240">
        <v>12</v>
      </c>
      <c r="AD240">
        <v>150</v>
      </c>
      <c r="AE240">
        <v>1</v>
      </c>
      <c r="AF240">
        <v>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1</v>
      </c>
      <c r="AY240">
        <v>0</v>
      </c>
      <c r="AZ240">
        <v>0</v>
      </c>
      <c r="BA240">
        <v>0</v>
      </c>
      <c r="BB240">
        <v>1</v>
      </c>
      <c r="BC240">
        <v>6</v>
      </c>
      <c r="BD240">
        <v>2</v>
      </c>
      <c r="BE240">
        <v>0</v>
      </c>
      <c r="BF240">
        <v>2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2</v>
      </c>
      <c r="BN240">
        <v>6</v>
      </c>
      <c r="BO240">
        <v>65</v>
      </c>
      <c r="BP240">
        <v>57</v>
      </c>
      <c r="BQ240">
        <v>0</v>
      </c>
      <c r="BR240">
        <v>2</v>
      </c>
      <c r="BS240">
        <v>4</v>
      </c>
      <c r="BT240">
        <v>1</v>
      </c>
      <c r="BU240">
        <v>0</v>
      </c>
      <c r="BV240">
        <v>0</v>
      </c>
      <c r="BW240">
        <v>1</v>
      </c>
      <c r="BX240">
        <v>0</v>
      </c>
      <c r="BY240">
        <v>0</v>
      </c>
      <c r="BZ240">
        <v>65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8</v>
      </c>
      <c r="CZ240">
        <v>4</v>
      </c>
      <c r="DA240">
        <v>0</v>
      </c>
      <c r="DB240">
        <v>0</v>
      </c>
      <c r="DC240">
        <v>0</v>
      </c>
      <c r="DD240">
        <v>2</v>
      </c>
      <c r="DE240">
        <v>0</v>
      </c>
      <c r="DF240">
        <v>0</v>
      </c>
      <c r="DG240">
        <v>1</v>
      </c>
      <c r="DH240">
        <v>1</v>
      </c>
      <c r="DI240">
        <v>0</v>
      </c>
      <c r="DJ240">
        <v>8</v>
      </c>
      <c r="DK240">
        <v>18</v>
      </c>
      <c r="DL240">
        <v>10</v>
      </c>
      <c r="DM240">
        <v>1</v>
      </c>
      <c r="DN240">
        <v>0</v>
      </c>
      <c r="DO240">
        <v>7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18</v>
      </c>
      <c r="DW240">
        <v>45</v>
      </c>
      <c r="DX240">
        <v>43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2</v>
      </c>
      <c r="EE240">
        <v>0</v>
      </c>
      <c r="EF240">
        <v>0</v>
      </c>
      <c r="EG240">
        <v>0</v>
      </c>
      <c r="EH240">
        <v>45</v>
      </c>
      <c r="EI240">
        <v>1</v>
      </c>
      <c r="EJ240">
        <v>0</v>
      </c>
      <c r="EK240">
        <v>1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1</v>
      </c>
      <c r="ES240">
        <v>5</v>
      </c>
      <c r="ET240">
        <v>4</v>
      </c>
      <c r="EU240">
        <v>0</v>
      </c>
      <c r="EV240">
        <v>0</v>
      </c>
      <c r="EW240">
        <v>0</v>
      </c>
      <c r="EX240">
        <v>0</v>
      </c>
      <c r="EY240">
        <v>1</v>
      </c>
      <c r="EZ240">
        <v>0</v>
      </c>
      <c r="FA240">
        <v>0</v>
      </c>
      <c r="FB240">
        <v>0</v>
      </c>
      <c r="FC240">
        <v>0</v>
      </c>
      <c r="FD240">
        <v>5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</row>
    <row r="241" spans="1:172" ht="14.25">
      <c r="A241">
        <v>236</v>
      </c>
      <c r="B241" t="str">
        <f t="shared" si="44"/>
        <v>101703</v>
      </c>
      <c r="C241" t="str">
        <f t="shared" si="45"/>
        <v>Konopnica</v>
      </c>
      <c r="D241" t="str">
        <f t="shared" si="43"/>
        <v>wieluński</v>
      </c>
      <c r="E241" t="str">
        <f t="shared" si="35"/>
        <v>łódzkie</v>
      </c>
      <c r="F241">
        <v>4</v>
      </c>
      <c r="G241" t="str">
        <f>"Remiza OSP, Kamyk 43, 98-313 Konopnica"</f>
        <v>Remiza OSP, Kamyk 43, 98-313 Konopnica</v>
      </c>
      <c r="H241">
        <v>191</v>
      </c>
      <c r="I241">
        <v>191</v>
      </c>
      <c r="J241">
        <v>0</v>
      </c>
      <c r="K241">
        <v>140</v>
      </c>
      <c r="L241">
        <v>97</v>
      </c>
      <c r="M241">
        <v>43</v>
      </c>
      <c r="N241">
        <v>43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43</v>
      </c>
      <c r="Z241">
        <v>0</v>
      </c>
      <c r="AA241">
        <v>0</v>
      </c>
      <c r="AB241">
        <v>43</v>
      </c>
      <c r="AC241">
        <v>3</v>
      </c>
      <c r="AD241">
        <v>40</v>
      </c>
      <c r="AE241">
        <v>1</v>
      </c>
      <c r="AF241">
        <v>1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19</v>
      </c>
      <c r="BP241">
        <v>17</v>
      </c>
      <c r="BQ241">
        <v>0</v>
      </c>
      <c r="BR241">
        <v>0</v>
      </c>
      <c r="BS241">
        <v>1</v>
      </c>
      <c r="BT241">
        <v>0</v>
      </c>
      <c r="BU241">
        <v>0</v>
      </c>
      <c r="BV241">
        <v>1</v>
      </c>
      <c r="BW241">
        <v>0</v>
      </c>
      <c r="BX241">
        <v>0</v>
      </c>
      <c r="BY241">
        <v>0</v>
      </c>
      <c r="BZ241">
        <v>19</v>
      </c>
      <c r="CA241">
        <v>1</v>
      </c>
      <c r="CB241">
        <v>0</v>
      </c>
      <c r="CC241">
        <v>0</v>
      </c>
      <c r="CD241">
        <v>0</v>
      </c>
      <c r="CE241">
        <v>0</v>
      </c>
      <c r="CF241">
        <v>1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1</v>
      </c>
      <c r="CM241">
        <v>1</v>
      </c>
      <c r="CN241">
        <v>0</v>
      </c>
      <c r="CO241">
        <v>0</v>
      </c>
      <c r="CP241">
        <v>0</v>
      </c>
      <c r="CQ241">
        <v>0</v>
      </c>
      <c r="CR241">
        <v>1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1</v>
      </c>
      <c r="CY241">
        <v>1</v>
      </c>
      <c r="CZ241">
        <v>0</v>
      </c>
      <c r="DA241">
        <v>0</v>
      </c>
      <c r="DB241">
        <v>0</v>
      </c>
      <c r="DC241">
        <v>0</v>
      </c>
      <c r="DD241">
        <v>1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1</v>
      </c>
      <c r="DK241">
        <v>4</v>
      </c>
      <c r="DL241">
        <v>0</v>
      </c>
      <c r="DM241">
        <v>1</v>
      </c>
      <c r="DN241">
        <v>0</v>
      </c>
      <c r="DO241">
        <v>2</v>
      </c>
      <c r="DP241">
        <v>0</v>
      </c>
      <c r="DQ241">
        <v>1</v>
      </c>
      <c r="DR241">
        <v>0</v>
      </c>
      <c r="DS241">
        <v>0</v>
      </c>
      <c r="DT241">
        <v>0</v>
      </c>
      <c r="DU241">
        <v>0</v>
      </c>
      <c r="DV241">
        <v>4</v>
      </c>
      <c r="DW241">
        <v>12</v>
      </c>
      <c r="DX241">
        <v>9</v>
      </c>
      <c r="DY241">
        <v>0</v>
      </c>
      <c r="DZ241">
        <v>0</v>
      </c>
      <c r="EA241">
        <v>0</v>
      </c>
      <c r="EB241">
        <v>0</v>
      </c>
      <c r="EC241">
        <v>2</v>
      </c>
      <c r="ED241">
        <v>1</v>
      </c>
      <c r="EE241">
        <v>0</v>
      </c>
      <c r="EF241">
        <v>0</v>
      </c>
      <c r="EG241">
        <v>0</v>
      </c>
      <c r="EH241">
        <v>12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1</v>
      </c>
      <c r="ET241">
        <v>0</v>
      </c>
      <c r="EU241">
        <v>0</v>
      </c>
      <c r="EV241">
        <v>0</v>
      </c>
      <c r="EW241">
        <v>0</v>
      </c>
      <c r="EX241">
        <v>1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1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</row>
    <row r="242" spans="1:172" ht="14.25">
      <c r="A242">
        <v>237</v>
      </c>
      <c r="B242" t="str">
        <f t="shared" si="44"/>
        <v>101703</v>
      </c>
      <c r="C242" t="str">
        <f t="shared" si="45"/>
        <v>Konopnica</v>
      </c>
      <c r="D242" t="str">
        <f t="shared" si="43"/>
        <v>wieluński</v>
      </c>
      <c r="E242" t="str">
        <f t="shared" si="35"/>
        <v>łódzkie</v>
      </c>
      <c r="F242">
        <v>5</v>
      </c>
      <c r="G242" t="str">
        <f>"Remiza OSP, Wrońsko 29, 98-313 Konopnica"</f>
        <v>Remiza OSP, Wrońsko 29, 98-313 Konopnica</v>
      </c>
      <c r="H242">
        <v>278</v>
      </c>
      <c r="I242">
        <v>278</v>
      </c>
      <c r="J242">
        <v>0</v>
      </c>
      <c r="K242">
        <v>200</v>
      </c>
      <c r="L242">
        <v>129</v>
      </c>
      <c r="M242">
        <v>71</v>
      </c>
      <c r="N242">
        <v>71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71</v>
      </c>
      <c r="Z242">
        <v>0</v>
      </c>
      <c r="AA242">
        <v>0</v>
      </c>
      <c r="AB242">
        <v>71</v>
      </c>
      <c r="AC242">
        <v>2</v>
      </c>
      <c r="AD242">
        <v>69</v>
      </c>
      <c r="AE242">
        <v>4</v>
      </c>
      <c r="AF242">
        <v>0</v>
      </c>
      <c r="AG242">
        <v>0</v>
      </c>
      <c r="AH242">
        <v>1</v>
      </c>
      <c r="AI242">
        <v>0</v>
      </c>
      <c r="AJ242">
        <v>0</v>
      </c>
      <c r="AK242">
        <v>1</v>
      </c>
      <c r="AL242">
        <v>0</v>
      </c>
      <c r="AM242">
        <v>0</v>
      </c>
      <c r="AN242">
        <v>2</v>
      </c>
      <c r="AO242">
        <v>0</v>
      </c>
      <c r="AP242">
        <v>4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15</v>
      </c>
      <c r="BP242">
        <v>13</v>
      </c>
      <c r="BQ242">
        <v>0</v>
      </c>
      <c r="BR242">
        <v>0</v>
      </c>
      <c r="BS242">
        <v>1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15</v>
      </c>
      <c r="CA242">
        <v>1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1</v>
      </c>
      <c r="CJ242">
        <v>0</v>
      </c>
      <c r="CK242">
        <v>0</v>
      </c>
      <c r="CL242">
        <v>1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1</v>
      </c>
      <c r="CZ242">
        <v>0</v>
      </c>
      <c r="DA242">
        <v>1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1</v>
      </c>
      <c r="DK242">
        <v>25</v>
      </c>
      <c r="DL242">
        <v>1</v>
      </c>
      <c r="DM242">
        <v>0</v>
      </c>
      <c r="DN242">
        <v>0</v>
      </c>
      <c r="DO242">
        <v>24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25</v>
      </c>
      <c r="DW242">
        <v>10</v>
      </c>
      <c r="DX242">
        <v>9</v>
      </c>
      <c r="DY242">
        <v>0</v>
      </c>
      <c r="DZ242">
        <v>0</v>
      </c>
      <c r="EA242">
        <v>0</v>
      </c>
      <c r="EB242">
        <v>0</v>
      </c>
      <c r="EC242">
        <v>1</v>
      </c>
      <c r="ED242">
        <v>0</v>
      </c>
      <c r="EE242">
        <v>0</v>
      </c>
      <c r="EF242">
        <v>0</v>
      </c>
      <c r="EG242">
        <v>0</v>
      </c>
      <c r="EH242">
        <v>10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13</v>
      </c>
      <c r="ET242">
        <v>13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13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</row>
    <row r="243" spans="1:172" ht="14.25">
      <c r="A243">
        <v>238</v>
      </c>
      <c r="B243" t="str">
        <f t="shared" si="44"/>
        <v>101703</v>
      </c>
      <c r="C243" t="str">
        <f t="shared" si="45"/>
        <v>Konopnica</v>
      </c>
      <c r="D243" t="str">
        <f t="shared" si="43"/>
        <v>wieluński</v>
      </c>
      <c r="E243" t="str">
        <f t="shared" si="35"/>
        <v>łódzkie</v>
      </c>
      <c r="F243">
        <v>6</v>
      </c>
      <c r="G243" t="str">
        <f>"Środowiskowy Dom Samopomocy, Strobin 34, 98-313 Konopnica"</f>
        <v>Środowiskowy Dom Samopomocy, Strobin 34, 98-313 Konopnica</v>
      </c>
      <c r="H243">
        <v>346</v>
      </c>
      <c r="I243">
        <v>346</v>
      </c>
      <c r="J243">
        <v>0</v>
      </c>
      <c r="K243">
        <v>240</v>
      </c>
      <c r="L243">
        <v>169</v>
      </c>
      <c r="M243">
        <v>71</v>
      </c>
      <c r="N243">
        <v>71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71</v>
      </c>
      <c r="Z243">
        <v>0</v>
      </c>
      <c r="AA243">
        <v>0</v>
      </c>
      <c r="AB243">
        <v>71</v>
      </c>
      <c r="AC243">
        <v>6</v>
      </c>
      <c r="AD243">
        <v>65</v>
      </c>
      <c r="AE243">
        <v>4</v>
      </c>
      <c r="AF243">
        <v>2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1</v>
      </c>
      <c r="AM243">
        <v>0</v>
      </c>
      <c r="AN243">
        <v>0</v>
      </c>
      <c r="AO243">
        <v>1</v>
      </c>
      <c r="AP243">
        <v>4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1</v>
      </c>
      <c r="BD243">
        <v>1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1</v>
      </c>
      <c r="BO243">
        <v>16</v>
      </c>
      <c r="BP243">
        <v>15</v>
      </c>
      <c r="BQ243">
        <v>0</v>
      </c>
      <c r="BR243">
        <v>0</v>
      </c>
      <c r="BS243">
        <v>1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16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10</v>
      </c>
      <c r="CZ243">
        <v>4</v>
      </c>
      <c r="DA243">
        <v>1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4</v>
      </c>
      <c r="DH243">
        <v>0</v>
      </c>
      <c r="DI243">
        <v>0</v>
      </c>
      <c r="DJ243">
        <v>10</v>
      </c>
      <c r="DK243">
        <v>10</v>
      </c>
      <c r="DL243">
        <v>3</v>
      </c>
      <c r="DM243">
        <v>3</v>
      </c>
      <c r="DN243">
        <v>0</v>
      </c>
      <c r="DO243">
        <v>3</v>
      </c>
      <c r="DP243">
        <v>0</v>
      </c>
      <c r="DQ243">
        <v>0</v>
      </c>
      <c r="DR243">
        <v>1</v>
      </c>
      <c r="DS243">
        <v>0</v>
      </c>
      <c r="DT243">
        <v>0</v>
      </c>
      <c r="DU243">
        <v>0</v>
      </c>
      <c r="DV243">
        <v>10</v>
      </c>
      <c r="DW243">
        <v>23</v>
      </c>
      <c r="DX243">
        <v>21</v>
      </c>
      <c r="DY243">
        <v>1</v>
      </c>
      <c r="DZ243">
        <v>0</v>
      </c>
      <c r="EA243">
        <v>0</v>
      </c>
      <c r="EB243">
        <v>0</v>
      </c>
      <c r="EC243">
        <v>0</v>
      </c>
      <c r="ED243">
        <v>1</v>
      </c>
      <c r="EE243">
        <v>0</v>
      </c>
      <c r="EF243">
        <v>0</v>
      </c>
      <c r="EG243">
        <v>0</v>
      </c>
      <c r="EH243">
        <v>23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1</v>
      </c>
      <c r="ET243">
        <v>1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1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</row>
    <row r="244" spans="1:172" ht="14.25">
      <c r="A244">
        <v>239</v>
      </c>
      <c r="B244" t="str">
        <f aca="true" t="shared" si="46" ref="B244:B249">"101704"</f>
        <v>101704</v>
      </c>
      <c r="C244" t="str">
        <f aca="true" t="shared" si="47" ref="C244:C249">"Mokrsko"</f>
        <v>Mokrsko</v>
      </c>
      <c r="D244" t="str">
        <f t="shared" si="43"/>
        <v>wieluński</v>
      </c>
      <c r="E244" t="str">
        <f t="shared" si="35"/>
        <v>łódzkie</v>
      </c>
      <c r="F244">
        <v>1</v>
      </c>
      <c r="G244" t="str">
        <f>"Zespół Szkół i Przedszkola w Mokrsku, Mokrsko 254, 98-345 Mokrsko"</f>
        <v>Zespół Szkół i Przedszkola w Mokrsku, Mokrsko 254, 98-345 Mokrsko</v>
      </c>
      <c r="H244">
        <v>1281</v>
      </c>
      <c r="I244">
        <v>1281</v>
      </c>
      <c r="J244">
        <v>0</v>
      </c>
      <c r="K244">
        <v>900</v>
      </c>
      <c r="L244">
        <v>654</v>
      </c>
      <c r="M244">
        <v>246</v>
      </c>
      <c r="N244">
        <v>246</v>
      </c>
      <c r="O244">
        <v>0</v>
      </c>
      <c r="P244">
        <v>1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246</v>
      </c>
      <c r="Z244">
        <v>0</v>
      </c>
      <c r="AA244">
        <v>0</v>
      </c>
      <c r="AB244">
        <v>246</v>
      </c>
      <c r="AC244">
        <v>18</v>
      </c>
      <c r="AD244">
        <v>228</v>
      </c>
      <c r="AE244">
        <v>3</v>
      </c>
      <c r="AF244">
        <v>1</v>
      </c>
      <c r="AG244">
        <v>0</v>
      </c>
      <c r="AH244">
        <v>2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3</v>
      </c>
      <c r="AQ244">
        <v>2</v>
      </c>
      <c r="AR244">
        <v>1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1</v>
      </c>
      <c r="BB244">
        <v>2</v>
      </c>
      <c r="BC244">
        <v>22</v>
      </c>
      <c r="BD244">
        <v>9</v>
      </c>
      <c r="BE244">
        <v>2</v>
      </c>
      <c r="BF244">
        <v>1</v>
      </c>
      <c r="BG244">
        <v>2</v>
      </c>
      <c r="BH244">
        <v>3</v>
      </c>
      <c r="BI244">
        <v>0</v>
      </c>
      <c r="BJ244">
        <v>0</v>
      </c>
      <c r="BK244">
        <v>1</v>
      </c>
      <c r="BL244">
        <v>0</v>
      </c>
      <c r="BM244">
        <v>4</v>
      </c>
      <c r="BN244">
        <v>22</v>
      </c>
      <c r="BO244">
        <v>100</v>
      </c>
      <c r="BP244">
        <v>90</v>
      </c>
      <c r="BQ244">
        <v>2</v>
      </c>
      <c r="BR244">
        <v>1</v>
      </c>
      <c r="BS244">
        <v>6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1</v>
      </c>
      <c r="BZ244">
        <v>100</v>
      </c>
      <c r="CA244">
        <v>5</v>
      </c>
      <c r="CB244">
        <v>0</v>
      </c>
      <c r="CC244">
        <v>1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3</v>
      </c>
      <c r="CJ244">
        <v>0</v>
      </c>
      <c r="CK244">
        <v>0</v>
      </c>
      <c r="CL244">
        <v>5</v>
      </c>
      <c r="CM244">
        <v>5</v>
      </c>
      <c r="CN244">
        <v>3</v>
      </c>
      <c r="CO244">
        <v>0</v>
      </c>
      <c r="CP244">
        <v>0</v>
      </c>
      <c r="CQ244">
        <v>0</v>
      </c>
      <c r="CR244">
        <v>0</v>
      </c>
      <c r="CS244">
        <v>2</v>
      </c>
      <c r="CT244">
        <v>0</v>
      </c>
      <c r="CU244">
        <v>0</v>
      </c>
      <c r="CV244">
        <v>0</v>
      </c>
      <c r="CW244">
        <v>0</v>
      </c>
      <c r="CX244">
        <v>5</v>
      </c>
      <c r="CY244">
        <v>19</v>
      </c>
      <c r="CZ244">
        <v>15</v>
      </c>
      <c r="DA244">
        <v>1</v>
      </c>
      <c r="DB244">
        <v>1</v>
      </c>
      <c r="DC244">
        <v>1</v>
      </c>
      <c r="DD244">
        <v>0</v>
      </c>
      <c r="DE244">
        <v>0</v>
      </c>
      <c r="DF244">
        <v>0</v>
      </c>
      <c r="DG244">
        <v>0</v>
      </c>
      <c r="DH244">
        <v>1</v>
      </c>
      <c r="DI244">
        <v>0</v>
      </c>
      <c r="DJ244">
        <v>19</v>
      </c>
      <c r="DK244">
        <v>25</v>
      </c>
      <c r="DL244">
        <v>15</v>
      </c>
      <c r="DM244">
        <v>3</v>
      </c>
      <c r="DN244">
        <v>0</v>
      </c>
      <c r="DO244">
        <v>6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1</v>
      </c>
      <c r="DV244">
        <v>25</v>
      </c>
      <c r="DW244">
        <v>42</v>
      </c>
      <c r="DX244">
        <v>39</v>
      </c>
      <c r="DY244">
        <v>1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0</v>
      </c>
      <c r="EF244">
        <v>1</v>
      </c>
      <c r="EG244">
        <v>0</v>
      </c>
      <c r="EH244">
        <v>42</v>
      </c>
      <c r="EI244">
        <v>2</v>
      </c>
      <c r="EJ244">
        <v>1</v>
      </c>
      <c r="EK244">
        <v>1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2</v>
      </c>
      <c r="ES244">
        <v>3</v>
      </c>
      <c r="ET244">
        <v>3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3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</row>
    <row r="245" spans="1:172" ht="14.25">
      <c r="A245">
        <v>240</v>
      </c>
      <c r="B245" t="str">
        <f t="shared" si="46"/>
        <v>101704</v>
      </c>
      <c r="C245" t="str">
        <f t="shared" si="47"/>
        <v>Mokrsko</v>
      </c>
      <c r="D245" t="str">
        <f t="shared" si="43"/>
        <v>wieluński</v>
      </c>
      <c r="E245" t="str">
        <f t="shared" si="35"/>
        <v>łódzkie</v>
      </c>
      <c r="F245">
        <v>2</v>
      </c>
      <c r="G245" t="str">
        <f>"Świetlica Wiejska w Chotowie, Chotów 94b, 98-345 Mokrsko"</f>
        <v>Świetlica Wiejska w Chotowie, Chotów 94b, 98-345 Mokrsko</v>
      </c>
      <c r="H245">
        <v>393</v>
      </c>
      <c r="I245">
        <v>393</v>
      </c>
      <c r="J245">
        <v>0</v>
      </c>
      <c r="K245">
        <v>280</v>
      </c>
      <c r="L245">
        <v>207</v>
      </c>
      <c r="M245">
        <v>73</v>
      </c>
      <c r="N245">
        <v>73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73</v>
      </c>
      <c r="Z245">
        <v>0</v>
      </c>
      <c r="AA245">
        <v>0</v>
      </c>
      <c r="AB245">
        <v>73</v>
      </c>
      <c r="AC245">
        <v>6</v>
      </c>
      <c r="AD245">
        <v>67</v>
      </c>
      <c r="AE245">
        <v>2</v>
      </c>
      <c r="AF245">
        <v>1</v>
      </c>
      <c r="AG245">
        <v>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2</v>
      </c>
      <c r="AQ245">
        <v>1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1</v>
      </c>
      <c r="BA245">
        <v>0</v>
      </c>
      <c r="BB245">
        <v>1</v>
      </c>
      <c r="BC245">
        <v>5</v>
      </c>
      <c r="BD245">
        <v>1</v>
      </c>
      <c r="BE245">
        <v>1</v>
      </c>
      <c r="BF245">
        <v>0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1</v>
      </c>
      <c r="BN245">
        <v>5</v>
      </c>
      <c r="BO245">
        <v>47</v>
      </c>
      <c r="BP245">
        <v>42</v>
      </c>
      <c r="BQ245">
        <v>3</v>
      </c>
      <c r="BR245">
        <v>0</v>
      </c>
      <c r="BS245">
        <v>1</v>
      </c>
      <c r="BT245">
        <v>0</v>
      </c>
      <c r="BU245">
        <v>0</v>
      </c>
      <c r="BV245">
        <v>0</v>
      </c>
      <c r="BW245">
        <v>0</v>
      </c>
      <c r="BX245">
        <v>1</v>
      </c>
      <c r="BY245">
        <v>0</v>
      </c>
      <c r="BZ245">
        <v>47</v>
      </c>
      <c r="CA245">
        <v>3</v>
      </c>
      <c r="CB245">
        <v>1</v>
      </c>
      <c r="CC245">
        <v>1</v>
      </c>
      <c r="CD245">
        <v>0</v>
      </c>
      <c r="CE245">
        <v>1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3</v>
      </c>
      <c r="CM245">
        <v>1</v>
      </c>
      <c r="CN245">
        <v>1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1</v>
      </c>
      <c r="CY245">
        <v>1</v>
      </c>
      <c r="CZ245">
        <v>1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1</v>
      </c>
      <c r="DK245">
        <v>6</v>
      </c>
      <c r="DL245">
        <v>6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6</v>
      </c>
      <c r="DW245">
        <v>1</v>
      </c>
      <c r="DX245">
        <v>1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1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</row>
    <row r="246" spans="1:172" ht="14.25">
      <c r="A246">
        <v>241</v>
      </c>
      <c r="B246" t="str">
        <f t="shared" si="46"/>
        <v>101704</v>
      </c>
      <c r="C246" t="str">
        <f t="shared" si="47"/>
        <v>Mokrsko</v>
      </c>
      <c r="D246" t="str">
        <f t="shared" si="43"/>
        <v>wieluński</v>
      </c>
      <c r="E246" t="str">
        <f t="shared" si="35"/>
        <v>łódzkie</v>
      </c>
      <c r="F246">
        <v>3</v>
      </c>
      <c r="G246" t="str">
        <f>"Zespół Szkoły i Przedszkola w Krzyworzece, Krzyworzeka 166, 98-345 Mokrsko"</f>
        <v>Zespół Szkoły i Przedszkola w Krzyworzece, Krzyworzeka 166, 98-345 Mokrsko</v>
      </c>
      <c r="H246">
        <v>811</v>
      </c>
      <c r="I246">
        <v>811</v>
      </c>
      <c r="J246">
        <v>0</v>
      </c>
      <c r="K246">
        <v>570</v>
      </c>
      <c r="L246">
        <v>399</v>
      </c>
      <c r="M246">
        <v>171</v>
      </c>
      <c r="N246">
        <v>171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171</v>
      </c>
      <c r="Z246">
        <v>0</v>
      </c>
      <c r="AA246">
        <v>0</v>
      </c>
      <c r="AB246">
        <v>171</v>
      </c>
      <c r="AC246">
        <v>13</v>
      </c>
      <c r="AD246">
        <v>158</v>
      </c>
      <c r="AE246">
        <v>2</v>
      </c>
      <c r="AF246">
        <v>1</v>
      </c>
      <c r="AG246">
        <v>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2</v>
      </c>
      <c r="AQ246">
        <v>3</v>
      </c>
      <c r="AR246">
        <v>2</v>
      </c>
      <c r="AS246">
        <v>0</v>
      </c>
      <c r="AT246">
        <v>0</v>
      </c>
      <c r="AU246">
        <v>0</v>
      </c>
      <c r="AV246">
        <v>1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3</v>
      </c>
      <c r="BC246">
        <v>13</v>
      </c>
      <c r="BD246">
        <v>5</v>
      </c>
      <c r="BE246">
        <v>2</v>
      </c>
      <c r="BF246">
        <v>1</v>
      </c>
      <c r="BG246">
        <v>0</v>
      </c>
      <c r="BH246">
        <v>1</v>
      </c>
      <c r="BI246">
        <v>2</v>
      </c>
      <c r="BJ246">
        <v>0</v>
      </c>
      <c r="BK246">
        <v>0</v>
      </c>
      <c r="BL246">
        <v>2</v>
      </c>
      <c r="BM246">
        <v>0</v>
      </c>
      <c r="BN246">
        <v>13</v>
      </c>
      <c r="BO246">
        <v>61</v>
      </c>
      <c r="BP246">
        <v>58</v>
      </c>
      <c r="BQ246">
        <v>1</v>
      </c>
      <c r="BR246">
        <v>0</v>
      </c>
      <c r="BS246">
        <v>2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61</v>
      </c>
      <c r="CA246">
        <v>3</v>
      </c>
      <c r="CB246">
        <v>0</v>
      </c>
      <c r="CC246">
        <v>0</v>
      </c>
      <c r="CD246">
        <v>1</v>
      </c>
      <c r="CE246">
        <v>0</v>
      </c>
      <c r="CF246">
        <v>2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3</v>
      </c>
      <c r="CM246">
        <v>5</v>
      </c>
      <c r="CN246">
        <v>2</v>
      </c>
      <c r="CO246">
        <v>0</v>
      </c>
      <c r="CP246">
        <v>0</v>
      </c>
      <c r="CQ246">
        <v>0</v>
      </c>
      <c r="CR246">
        <v>0</v>
      </c>
      <c r="CS246">
        <v>1</v>
      </c>
      <c r="CT246">
        <v>1</v>
      </c>
      <c r="CU246">
        <v>0</v>
      </c>
      <c r="CV246">
        <v>0</v>
      </c>
      <c r="CW246">
        <v>1</v>
      </c>
      <c r="CX246">
        <v>5</v>
      </c>
      <c r="CY246">
        <v>5</v>
      </c>
      <c r="CZ246">
        <v>4</v>
      </c>
      <c r="DA246">
        <v>1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5</v>
      </c>
      <c r="DK246">
        <v>27</v>
      </c>
      <c r="DL246">
        <v>16</v>
      </c>
      <c r="DM246">
        <v>7</v>
      </c>
      <c r="DN246">
        <v>0</v>
      </c>
      <c r="DO246">
        <v>0</v>
      </c>
      <c r="DP246">
        <v>0</v>
      </c>
      <c r="DQ246">
        <v>1</v>
      </c>
      <c r="DR246">
        <v>1</v>
      </c>
      <c r="DS246">
        <v>0</v>
      </c>
      <c r="DT246">
        <v>0</v>
      </c>
      <c r="DU246">
        <v>2</v>
      </c>
      <c r="DV246">
        <v>27</v>
      </c>
      <c r="DW246">
        <v>34</v>
      </c>
      <c r="DX246">
        <v>31</v>
      </c>
      <c r="DY246">
        <v>1</v>
      </c>
      <c r="DZ246">
        <v>0</v>
      </c>
      <c r="EA246">
        <v>0</v>
      </c>
      <c r="EB246">
        <v>0</v>
      </c>
      <c r="EC246">
        <v>0</v>
      </c>
      <c r="ED246">
        <v>1</v>
      </c>
      <c r="EE246">
        <v>0</v>
      </c>
      <c r="EF246">
        <v>0</v>
      </c>
      <c r="EG246">
        <v>1</v>
      </c>
      <c r="EH246">
        <v>34</v>
      </c>
      <c r="EI246">
        <v>3</v>
      </c>
      <c r="EJ246">
        <v>2</v>
      </c>
      <c r="EK246">
        <v>1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3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2</v>
      </c>
      <c r="FF246">
        <v>0</v>
      </c>
      <c r="FG246">
        <v>1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1</v>
      </c>
      <c r="FP246">
        <v>2</v>
      </c>
    </row>
    <row r="247" spans="1:172" ht="14.25">
      <c r="A247">
        <v>242</v>
      </c>
      <c r="B247" t="str">
        <f t="shared" si="46"/>
        <v>101704</v>
      </c>
      <c r="C247" t="str">
        <f t="shared" si="47"/>
        <v>Mokrsko</v>
      </c>
      <c r="D247" t="str">
        <f t="shared" si="43"/>
        <v>wieluński</v>
      </c>
      <c r="E247" t="str">
        <f t="shared" si="35"/>
        <v>łódzkie</v>
      </c>
      <c r="F247">
        <v>4</v>
      </c>
      <c r="G247" t="str">
        <f>"Świetlica Wiejska w Komornikach, Komorniki 7a, 98-345 Mokrsko"</f>
        <v>Świetlica Wiejska w Komornikach, Komorniki 7a, 98-345 Mokrsko</v>
      </c>
      <c r="H247">
        <v>789</v>
      </c>
      <c r="I247">
        <v>789</v>
      </c>
      <c r="J247">
        <v>0</v>
      </c>
      <c r="K247">
        <v>529</v>
      </c>
      <c r="L247">
        <v>284</v>
      </c>
      <c r="M247">
        <v>245</v>
      </c>
      <c r="N247">
        <v>245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245</v>
      </c>
      <c r="Z247">
        <v>0</v>
      </c>
      <c r="AA247">
        <v>0</v>
      </c>
      <c r="AB247">
        <v>245</v>
      </c>
      <c r="AC247">
        <v>13</v>
      </c>
      <c r="AD247">
        <v>232</v>
      </c>
      <c r="AE247">
        <v>8</v>
      </c>
      <c r="AF247">
        <v>4</v>
      </c>
      <c r="AG247">
        <v>0</v>
      </c>
      <c r="AH247">
        <v>2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1</v>
      </c>
      <c r="AO247">
        <v>1</v>
      </c>
      <c r="AP247">
        <v>8</v>
      </c>
      <c r="AQ247">
        <v>1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  <c r="BB247">
        <v>1</v>
      </c>
      <c r="BC247">
        <v>13</v>
      </c>
      <c r="BD247">
        <v>9</v>
      </c>
      <c r="BE247">
        <v>1</v>
      </c>
      <c r="BF247">
        <v>0</v>
      </c>
      <c r="BG247">
        <v>0</v>
      </c>
      <c r="BH247">
        <v>0</v>
      </c>
      <c r="BI247">
        <v>1</v>
      </c>
      <c r="BJ247">
        <v>0</v>
      </c>
      <c r="BK247">
        <v>1</v>
      </c>
      <c r="BL247">
        <v>1</v>
      </c>
      <c r="BM247">
        <v>0</v>
      </c>
      <c r="BN247">
        <v>13</v>
      </c>
      <c r="BO247">
        <v>144</v>
      </c>
      <c r="BP247">
        <v>134</v>
      </c>
      <c r="BQ247">
        <v>2</v>
      </c>
      <c r="BR247">
        <v>2</v>
      </c>
      <c r="BS247">
        <v>5</v>
      </c>
      <c r="BT247">
        <v>0</v>
      </c>
      <c r="BU247">
        <v>0</v>
      </c>
      <c r="BV247">
        <v>0</v>
      </c>
      <c r="BW247">
        <v>0</v>
      </c>
      <c r="BX247">
        <v>1</v>
      </c>
      <c r="BY247">
        <v>0</v>
      </c>
      <c r="BZ247">
        <v>144</v>
      </c>
      <c r="CA247">
        <v>5</v>
      </c>
      <c r="CB247">
        <v>4</v>
      </c>
      <c r="CC247">
        <v>0</v>
      </c>
      <c r="CD247">
        <v>1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5</v>
      </c>
      <c r="CM247">
        <v>5</v>
      </c>
      <c r="CN247">
        <v>3</v>
      </c>
      <c r="CO247">
        <v>0</v>
      </c>
      <c r="CP247">
        <v>0</v>
      </c>
      <c r="CQ247">
        <v>0</v>
      </c>
      <c r="CR247">
        <v>2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5</v>
      </c>
      <c r="CY247">
        <v>13</v>
      </c>
      <c r="CZ247">
        <v>7</v>
      </c>
      <c r="DA247">
        <v>3</v>
      </c>
      <c r="DB247">
        <v>1</v>
      </c>
      <c r="DC247">
        <v>0</v>
      </c>
      <c r="DD247">
        <v>0</v>
      </c>
      <c r="DE247">
        <v>0</v>
      </c>
      <c r="DF247">
        <v>0</v>
      </c>
      <c r="DG247">
        <v>2</v>
      </c>
      <c r="DH247">
        <v>0</v>
      </c>
      <c r="DI247">
        <v>0</v>
      </c>
      <c r="DJ247">
        <v>13</v>
      </c>
      <c r="DK247">
        <v>16</v>
      </c>
      <c r="DL247">
        <v>6</v>
      </c>
      <c r="DM247">
        <v>4</v>
      </c>
      <c r="DN247">
        <v>1</v>
      </c>
      <c r="DO247">
        <v>1</v>
      </c>
      <c r="DP247">
        <v>0</v>
      </c>
      <c r="DQ247">
        <v>0</v>
      </c>
      <c r="DR247">
        <v>2</v>
      </c>
      <c r="DS247">
        <v>0</v>
      </c>
      <c r="DT247">
        <v>0</v>
      </c>
      <c r="DU247">
        <v>2</v>
      </c>
      <c r="DV247">
        <v>16</v>
      </c>
      <c r="DW247">
        <v>24</v>
      </c>
      <c r="DX247">
        <v>22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1</v>
      </c>
      <c r="EE247">
        <v>0</v>
      </c>
      <c r="EF247">
        <v>0</v>
      </c>
      <c r="EG247">
        <v>0</v>
      </c>
      <c r="EH247">
        <v>24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1</v>
      </c>
      <c r="ET247">
        <v>1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1</v>
      </c>
      <c r="FE247">
        <v>2</v>
      </c>
      <c r="FF247">
        <v>0</v>
      </c>
      <c r="FG247">
        <v>0</v>
      </c>
      <c r="FH247">
        <v>1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0</v>
      </c>
      <c r="FO247">
        <v>0</v>
      </c>
      <c r="FP247">
        <v>2</v>
      </c>
    </row>
    <row r="248" spans="1:172" ht="14.25">
      <c r="A248">
        <v>243</v>
      </c>
      <c r="B248" t="str">
        <f t="shared" si="46"/>
        <v>101704</v>
      </c>
      <c r="C248" t="str">
        <f t="shared" si="47"/>
        <v>Mokrsko</v>
      </c>
      <c r="D248" t="str">
        <f t="shared" si="43"/>
        <v>wieluński</v>
      </c>
      <c r="E248" t="str">
        <f t="shared" si="35"/>
        <v>łódzkie</v>
      </c>
      <c r="F248">
        <v>5</v>
      </c>
      <c r="G248" t="str">
        <f>"Zespół Szkoły i Przedszkola w Ożarowie, Ożarów 142, 98-345 Mokrsko"</f>
        <v>Zespół Szkoły i Przedszkola w Ożarowie, Ożarów 142, 98-345 Mokrsko</v>
      </c>
      <c r="H248">
        <v>789</v>
      </c>
      <c r="I248">
        <v>789</v>
      </c>
      <c r="J248">
        <v>0</v>
      </c>
      <c r="K248">
        <v>561</v>
      </c>
      <c r="L248">
        <v>376</v>
      </c>
      <c r="M248">
        <v>185</v>
      </c>
      <c r="N248">
        <v>185</v>
      </c>
      <c r="O248">
        <v>0</v>
      </c>
      <c r="P248">
        <v>0</v>
      </c>
      <c r="Q248">
        <v>1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185</v>
      </c>
      <c r="Z248">
        <v>0</v>
      </c>
      <c r="AA248">
        <v>0</v>
      </c>
      <c r="AB248">
        <v>185</v>
      </c>
      <c r="AC248">
        <v>9</v>
      </c>
      <c r="AD248">
        <v>176</v>
      </c>
      <c r="AE248">
        <v>8</v>
      </c>
      <c r="AF248">
        <v>4</v>
      </c>
      <c r="AG248">
        <v>2</v>
      </c>
      <c r="AH248">
        <v>1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>
        <v>0</v>
      </c>
      <c r="AP248">
        <v>8</v>
      </c>
      <c r="AQ248">
        <v>1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1</v>
      </c>
      <c r="BC248">
        <v>9</v>
      </c>
      <c r="BD248">
        <v>4</v>
      </c>
      <c r="BE248">
        <v>2</v>
      </c>
      <c r="BF248">
        <v>1</v>
      </c>
      <c r="BG248">
        <v>0</v>
      </c>
      <c r="BH248">
        <v>1</v>
      </c>
      <c r="BI248">
        <v>0</v>
      </c>
      <c r="BJ248">
        <v>0</v>
      </c>
      <c r="BK248">
        <v>0</v>
      </c>
      <c r="BL248">
        <v>1</v>
      </c>
      <c r="BM248">
        <v>0</v>
      </c>
      <c r="BN248">
        <v>9</v>
      </c>
      <c r="BO248">
        <v>84</v>
      </c>
      <c r="BP248">
        <v>80</v>
      </c>
      <c r="BQ248">
        <v>0</v>
      </c>
      <c r="BR248">
        <v>0</v>
      </c>
      <c r="BS248">
        <v>3</v>
      </c>
      <c r="BT248">
        <v>1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84</v>
      </c>
      <c r="CA248">
        <v>2</v>
      </c>
      <c r="CB248">
        <v>1</v>
      </c>
      <c r="CC248">
        <v>0</v>
      </c>
      <c r="CD248">
        <v>0</v>
      </c>
      <c r="CE248">
        <v>1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2</v>
      </c>
      <c r="CM248">
        <v>2</v>
      </c>
      <c r="CN248">
        <v>0</v>
      </c>
      <c r="CO248">
        <v>0</v>
      </c>
      <c r="CP248">
        <v>0</v>
      </c>
      <c r="CQ248">
        <v>1</v>
      </c>
      <c r="CR248">
        <v>0</v>
      </c>
      <c r="CS248">
        <v>1</v>
      </c>
      <c r="CT248">
        <v>0</v>
      </c>
      <c r="CU248">
        <v>0</v>
      </c>
      <c r="CV248">
        <v>0</v>
      </c>
      <c r="CW248">
        <v>0</v>
      </c>
      <c r="CX248">
        <v>2</v>
      </c>
      <c r="CY248">
        <v>13</v>
      </c>
      <c r="CZ248">
        <v>10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2</v>
      </c>
      <c r="DG248">
        <v>0</v>
      </c>
      <c r="DH248">
        <v>0</v>
      </c>
      <c r="DI248">
        <v>0</v>
      </c>
      <c r="DJ248">
        <v>13</v>
      </c>
      <c r="DK248">
        <v>30</v>
      </c>
      <c r="DL248">
        <v>18</v>
      </c>
      <c r="DM248">
        <v>5</v>
      </c>
      <c r="DN248">
        <v>2</v>
      </c>
      <c r="DO248">
        <v>1</v>
      </c>
      <c r="DP248">
        <v>1</v>
      </c>
      <c r="DQ248">
        <v>1</v>
      </c>
      <c r="DR248">
        <v>0</v>
      </c>
      <c r="DS248">
        <v>0</v>
      </c>
      <c r="DT248">
        <v>2</v>
      </c>
      <c r="DU248">
        <v>0</v>
      </c>
      <c r="DV248">
        <v>30</v>
      </c>
      <c r="DW248">
        <v>26</v>
      </c>
      <c r="DX248">
        <v>21</v>
      </c>
      <c r="DY248">
        <v>1</v>
      </c>
      <c r="DZ248">
        <v>0</v>
      </c>
      <c r="EA248">
        <v>0</v>
      </c>
      <c r="EB248">
        <v>0</v>
      </c>
      <c r="EC248">
        <v>0</v>
      </c>
      <c r="ED248">
        <v>3</v>
      </c>
      <c r="EE248">
        <v>0</v>
      </c>
      <c r="EF248">
        <v>0</v>
      </c>
      <c r="EG248">
        <v>1</v>
      </c>
      <c r="EH248">
        <v>26</v>
      </c>
      <c r="EI248">
        <v>1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1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</row>
    <row r="249" spans="1:172" ht="14.25">
      <c r="A249">
        <v>244</v>
      </c>
      <c r="B249" t="str">
        <f t="shared" si="46"/>
        <v>101704</v>
      </c>
      <c r="C249" t="str">
        <f t="shared" si="47"/>
        <v>Mokrsko</v>
      </c>
      <c r="D249" t="str">
        <f t="shared" si="43"/>
        <v>wieluński</v>
      </c>
      <c r="E249" t="str">
        <f t="shared" si="35"/>
        <v>łódzkie</v>
      </c>
      <c r="F249">
        <v>6</v>
      </c>
      <c r="G249" t="str">
        <f>"Świetlica Wiejska w Słupsku, Słupsko 29a, 98-345 Mokrsko"</f>
        <v>Świetlica Wiejska w Słupsku, Słupsko 29a, 98-345 Mokrsko</v>
      </c>
      <c r="H249">
        <v>287</v>
      </c>
      <c r="I249">
        <v>287</v>
      </c>
      <c r="J249">
        <v>0</v>
      </c>
      <c r="K249">
        <v>200</v>
      </c>
      <c r="L249">
        <v>120</v>
      </c>
      <c r="M249">
        <v>80</v>
      </c>
      <c r="N249">
        <v>80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80</v>
      </c>
      <c r="Z249">
        <v>0</v>
      </c>
      <c r="AA249">
        <v>0</v>
      </c>
      <c r="AB249">
        <v>80</v>
      </c>
      <c r="AC249">
        <v>5</v>
      </c>
      <c r="AD249">
        <v>75</v>
      </c>
      <c r="AE249">
        <v>2</v>
      </c>
      <c r="AF249">
        <v>2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2</v>
      </c>
      <c r="AQ249">
        <v>2</v>
      </c>
      <c r="AR249">
        <v>0</v>
      </c>
      <c r="AS249">
        <v>0</v>
      </c>
      <c r="AT249">
        <v>0</v>
      </c>
      <c r="AU249">
        <v>1</v>
      </c>
      <c r="AV249">
        <v>1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2</v>
      </c>
      <c r="BC249">
        <v>2</v>
      </c>
      <c r="BD249">
        <v>2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2</v>
      </c>
      <c r="BO249">
        <v>60</v>
      </c>
      <c r="BP249">
        <v>58</v>
      </c>
      <c r="BQ249">
        <v>1</v>
      </c>
      <c r="BR249">
        <v>1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60</v>
      </c>
      <c r="CA249">
        <v>1</v>
      </c>
      <c r="CB249">
        <v>1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1</v>
      </c>
      <c r="DL249">
        <v>1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1</v>
      </c>
      <c r="DW249">
        <v>7</v>
      </c>
      <c r="DX249">
        <v>7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7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</row>
    <row r="250" spans="1:172" ht="14.25">
      <c r="A250">
        <v>245</v>
      </c>
      <c r="B250" t="str">
        <f aca="true" t="shared" si="48" ref="B250:B255">"101705"</f>
        <v>101705</v>
      </c>
      <c r="C250" t="str">
        <f aca="true" t="shared" si="49" ref="C250:C255">"Osjaków"</f>
        <v>Osjaków</v>
      </c>
      <c r="D250" t="str">
        <f t="shared" si="43"/>
        <v>wieluński</v>
      </c>
      <c r="E250" t="str">
        <f t="shared" si="35"/>
        <v>łódzkie</v>
      </c>
      <c r="F250">
        <v>1</v>
      </c>
      <c r="G250" t="str">
        <f>"Publiczne Gimnazjum w Osjakowie, Wieluńska 14, 98-320 Osjaków"</f>
        <v>Publiczne Gimnazjum w Osjakowie, Wieluńska 14, 98-320 Osjaków</v>
      </c>
      <c r="H250">
        <v>665</v>
      </c>
      <c r="I250">
        <v>665</v>
      </c>
      <c r="J250">
        <v>0</v>
      </c>
      <c r="K250">
        <v>470</v>
      </c>
      <c r="L250">
        <v>293</v>
      </c>
      <c r="M250">
        <v>177</v>
      </c>
      <c r="N250">
        <v>177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177</v>
      </c>
      <c r="Z250">
        <v>0</v>
      </c>
      <c r="AA250">
        <v>0</v>
      </c>
      <c r="AB250">
        <v>177</v>
      </c>
      <c r="AC250">
        <v>9</v>
      </c>
      <c r="AD250">
        <v>168</v>
      </c>
      <c r="AE250">
        <v>2</v>
      </c>
      <c r="AF250">
        <v>1</v>
      </c>
      <c r="AG250">
        <v>0</v>
      </c>
      <c r="AH250">
        <v>1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2</v>
      </c>
      <c r="AQ250">
        <v>1</v>
      </c>
      <c r="AR250">
        <v>1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1</v>
      </c>
      <c r="BC250">
        <v>4</v>
      </c>
      <c r="BD250">
        <v>2</v>
      </c>
      <c r="BE250">
        <v>0</v>
      </c>
      <c r="BF250">
        <v>0</v>
      </c>
      <c r="BG250">
        <v>1</v>
      </c>
      <c r="BH250">
        <v>1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4</v>
      </c>
      <c r="BO250">
        <v>76</v>
      </c>
      <c r="BP250">
        <v>70</v>
      </c>
      <c r="BQ250">
        <v>4</v>
      </c>
      <c r="BR250">
        <v>0</v>
      </c>
      <c r="BS250">
        <v>1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1</v>
      </c>
      <c r="BZ250">
        <v>76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16</v>
      </c>
      <c r="CZ250">
        <v>8</v>
      </c>
      <c r="DA250">
        <v>1</v>
      </c>
      <c r="DB250">
        <v>0</v>
      </c>
      <c r="DC250">
        <v>0</v>
      </c>
      <c r="DD250">
        <v>3</v>
      </c>
      <c r="DE250">
        <v>1</v>
      </c>
      <c r="DF250">
        <v>0</v>
      </c>
      <c r="DG250">
        <v>1</v>
      </c>
      <c r="DH250">
        <v>1</v>
      </c>
      <c r="DI250">
        <v>1</v>
      </c>
      <c r="DJ250">
        <v>16</v>
      </c>
      <c r="DK250">
        <v>7</v>
      </c>
      <c r="DL250">
        <v>4</v>
      </c>
      <c r="DM250">
        <v>2</v>
      </c>
      <c r="DN250">
        <v>0</v>
      </c>
      <c r="DO250">
        <v>1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7</v>
      </c>
      <c r="DW250">
        <v>47</v>
      </c>
      <c r="DX250">
        <v>46</v>
      </c>
      <c r="DY250">
        <v>1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47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14</v>
      </c>
      <c r="ET250">
        <v>13</v>
      </c>
      <c r="EU250">
        <v>1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14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1</v>
      </c>
      <c r="FL250">
        <v>0</v>
      </c>
      <c r="FM250">
        <v>0</v>
      </c>
      <c r="FN250">
        <v>0</v>
      </c>
      <c r="FO250">
        <v>0</v>
      </c>
      <c r="FP250">
        <v>1</v>
      </c>
    </row>
    <row r="251" spans="1:172" ht="14.25">
      <c r="A251">
        <v>246</v>
      </c>
      <c r="B251" t="str">
        <f t="shared" si="48"/>
        <v>101705</v>
      </c>
      <c r="C251" t="str">
        <f t="shared" si="49"/>
        <v>Osjaków</v>
      </c>
      <c r="D251" t="str">
        <f t="shared" si="43"/>
        <v>wieluński</v>
      </c>
      <c r="E251" t="str">
        <f t="shared" si="35"/>
        <v>łódzkie</v>
      </c>
      <c r="F251">
        <v>2</v>
      </c>
      <c r="G251" t="str">
        <f>"Remiza OSP, Czernice 23, 98-320 Osjaków"</f>
        <v>Remiza OSP, Czernice 23, 98-320 Osjaków</v>
      </c>
      <c r="H251">
        <v>490</v>
      </c>
      <c r="I251">
        <v>490</v>
      </c>
      <c r="J251">
        <v>0</v>
      </c>
      <c r="K251">
        <v>350</v>
      </c>
      <c r="L251">
        <v>223</v>
      </c>
      <c r="M251">
        <v>127</v>
      </c>
      <c r="N251">
        <v>127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127</v>
      </c>
      <c r="Z251">
        <v>0</v>
      </c>
      <c r="AA251">
        <v>0</v>
      </c>
      <c r="AB251">
        <v>127</v>
      </c>
      <c r="AC251">
        <v>10</v>
      </c>
      <c r="AD251">
        <v>117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2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</v>
      </c>
      <c r="BA251">
        <v>0</v>
      </c>
      <c r="BB251">
        <v>2</v>
      </c>
      <c r="BC251">
        <v>12</v>
      </c>
      <c r="BD251">
        <v>10</v>
      </c>
      <c r="BE251">
        <v>0</v>
      </c>
      <c r="BF251">
        <v>2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12</v>
      </c>
      <c r="BO251">
        <v>56</v>
      </c>
      <c r="BP251">
        <v>52</v>
      </c>
      <c r="BQ251">
        <v>1</v>
      </c>
      <c r="BR251">
        <v>0</v>
      </c>
      <c r="BS251">
        <v>1</v>
      </c>
      <c r="BT251">
        <v>0</v>
      </c>
      <c r="BU251">
        <v>0</v>
      </c>
      <c r="BV251">
        <v>0</v>
      </c>
      <c r="BW251">
        <v>1</v>
      </c>
      <c r="BX251">
        <v>0</v>
      </c>
      <c r="BY251">
        <v>1</v>
      </c>
      <c r="BZ251">
        <v>56</v>
      </c>
      <c r="CA251">
        <v>3</v>
      </c>
      <c r="CB251">
        <v>0</v>
      </c>
      <c r="CC251">
        <v>2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1</v>
      </c>
      <c r="CK251">
        <v>0</v>
      </c>
      <c r="CL251">
        <v>3</v>
      </c>
      <c r="CM251">
        <v>1</v>
      </c>
      <c r="CN251">
        <v>1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1</v>
      </c>
      <c r="CY251">
        <v>10</v>
      </c>
      <c r="CZ251">
        <v>8</v>
      </c>
      <c r="DA251">
        <v>0</v>
      </c>
      <c r="DB251">
        <v>0</v>
      </c>
      <c r="DC251">
        <v>0</v>
      </c>
      <c r="DD251">
        <v>0</v>
      </c>
      <c r="DE251">
        <v>1</v>
      </c>
      <c r="DF251">
        <v>0</v>
      </c>
      <c r="DG251">
        <v>0</v>
      </c>
      <c r="DH251">
        <v>1</v>
      </c>
      <c r="DI251">
        <v>0</v>
      </c>
      <c r="DJ251">
        <v>10</v>
      </c>
      <c r="DK251">
        <v>4</v>
      </c>
      <c r="DL251">
        <v>3</v>
      </c>
      <c r="DM251">
        <v>1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4</v>
      </c>
      <c r="DW251">
        <v>27</v>
      </c>
      <c r="DX251">
        <v>24</v>
      </c>
      <c r="DY251">
        <v>2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1</v>
      </c>
      <c r="EH251">
        <v>27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2</v>
      </c>
      <c r="ET251">
        <v>2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2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</row>
    <row r="252" spans="1:172" ht="14.25">
      <c r="A252">
        <v>247</v>
      </c>
      <c r="B252" t="str">
        <f t="shared" si="48"/>
        <v>101705</v>
      </c>
      <c r="C252" t="str">
        <f t="shared" si="49"/>
        <v>Osjaków</v>
      </c>
      <c r="D252" t="str">
        <f t="shared" si="43"/>
        <v>wieluński</v>
      </c>
      <c r="E252" t="str">
        <f t="shared" si="35"/>
        <v>łódzkie</v>
      </c>
      <c r="F252">
        <v>3</v>
      </c>
      <c r="G252" t="str">
        <f>"Oddział Przedszkolny, Kolonia Raducka 41, 98-320 Osjaków"</f>
        <v>Oddział Przedszkolny, Kolonia Raducka 41, 98-320 Osjaków</v>
      </c>
      <c r="H252">
        <v>490</v>
      </c>
      <c r="I252">
        <v>490</v>
      </c>
      <c r="J252">
        <v>0</v>
      </c>
      <c r="K252">
        <v>340</v>
      </c>
      <c r="L252">
        <v>219</v>
      </c>
      <c r="M252">
        <v>121</v>
      </c>
      <c r="N252">
        <v>121</v>
      </c>
      <c r="O252">
        <v>0</v>
      </c>
      <c r="P252">
        <v>0</v>
      </c>
      <c r="Q252">
        <v>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121</v>
      </c>
      <c r="Z252">
        <v>0</v>
      </c>
      <c r="AA252">
        <v>0</v>
      </c>
      <c r="AB252">
        <v>121</v>
      </c>
      <c r="AC252">
        <v>2</v>
      </c>
      <c r="AD252">
        <v>119</v>
      </c>
      <c r="AE252">
        <v>2</v>
      </c>
      <c r="AF252">
        <v>0</v>
      </c>
      <c r="AG252">
        <v>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2</v>
      </c>
      <c r="AQ252">
        <v>1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1</v>
      </c>
      <c r="BB252">
        <v>1</v>
      </c>
      <c r="BC252">
        <v>4</v>
      </c>
      <c r="BD252">
        <v>1</v>
      </c>
      <c r="BE252">
        <v>0</v>
      </c>
      <c r="BF252">
        <v>0</v>
      </c>
      <c r="BG252">
        <v>1</v>
      </c>
      <c r="BH252">
        <v>1</v>
      </c>
      <c r="BI252">
        <v>1</v>
      </c>
      <c r="BJ252">
        <v>0</v>
      </c>
      <c r="BK252">
        <v>0</v>
      </c>
      <c r="BL252">
        <v>0</v>
      </c>
      <c r="BM252">
        <v>0</v>
      </c>
      <c r="BN252">
        <v>4</v>
      </c>
      <c r="BO252">
        <v>58</v>
      </c>
      <c r="BP252">
        <v>55</v>
      </c>
      <c r="BQ252">
        <v>2</v>
      </c>
      <c r="BR252">
        <v>0</v>
      </c>
      <c r="BS252">
        <v>0</v>
      </c>
      <c r="BT252">
        <v>0</v>
      </c>
      <c r="BU252">
        <v>0</v>
      </c>
      <c r="BV252">
        <v>1</v>
      </c>
      <c r="BW252">
        <v>0</v>
      </c>
      <c r="BX252">
        <v>0</v>
      </c>
      <c r="BY252">
        <v>0</v>
      </c>
      <c r="BZ252">
        <v>58</v>
      </c>
      <c r="CA252">
        <v>3</v>
      </c>
      <c r="CB252">
        <v>0</v>
      </c>
      <c r="CC252">
        <v>0</v>
      </c>
      <c r="CD252">
        <v>1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1</v>
      </c>
      <c r="CK252">
        <v>0</v>
      </c>
      <c r="CL252">
        <v>3</v>
      </c>
      <c r="CM252">
        <v>1</v>
      </c>
      <c r="CN252">
        <v>1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1</v>
      </c>
      <c r="CY252">
        <v>9</v>
      </c>
      <c r="CZ252">
        <v>6</v>
      </c>
      <c r="DA252">
        <v>2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1</v>
      </c>
      <c r="DH252">
        <v>0</v>
      </c>
      <c r="DI252">
        <v>0</v>
      </c>
      <c r="DJ252">
        <v>9</v>
      </c>
      <c r="DK252">
        <v>16</v>
      </c>
      <c r="DL252">
        <v>9</v>
      </c>
      <c r="DM252">
        <v>5</v>
      </c>
      <c r="DN252">
        <v>0</v>
      </c>
      <c r="DO252">
        <v>0</v>
      </c>
      <c r="DP252">
        <v>0</v>
      </c>
      <c r="DQ252">
        <v>0</v>
      </c>
      <c r="DR252">
        <v>1</v>
      </c>
      <c r="DS252">
        <v>0</v>
      </c>
      <c r="DT252">
        <v>0</v>
      </c>
      <c r="DU252">
        <v>1</v>
      </c>
      <c r="DV252">
        <v>16</v>
      </c>
      <c r="DW252">
        <v>21</v>
      </c>
      <c r="DX252">
        <v>19</v>
      </c>
      <c r="DY252">
        <v>1</v>
      </c>
      <c r="DZ252">
        <v>0</v>
      </c>
      <c r="EA252">
        <v>0</v>
      </c>
      <c r="EB252">
        <v>0</v>
      </c>
      <c r="EC252">
        <v>1</v>
      </c>
      <c r="ED252">
        <v>0</v>
      </c>
      <c r="EE252">
        <v>0</v>
      </c>
      <c r="EF252">
        <v>0</v>
      </c>
      <c r="EG252">
        <v>0</v>
      </c>
      <c r="EH252">
        <v>21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4</v>
      </c>
      <c r="ET252">
        <v>4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4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</row>
    <row r="253" spans="1:172" ht="14.25">
      <c r="A253">
        <v>248</v>
      </c>
      <c r="B253" t="str">
        <f t="shared" si="48"/>
        <v>101705</v>
      </c>
      <c r="C253" t="str">
        <f t="shared" si="49"/>
        <v>Osjaków</v>
      </c>
      <c r="D253" t="str">
        <f t="shared" si="43"/>
        <v>wieluński</v>
      </c>
      <c r="E253" t="str">
        <f t="shared" si="35"/>
        <v>łódzkie</v>
      </c>
      <c r="F253">
        <v>4</v>
      </c>
      <c r="G253" t="str">
        <f>"Oddział Przedszkolny, Drobnice 51, 98-320 Osjaków"</f>
        <v>Oddział Przedszkolny, Drobnice 51, 98-320 Osjaków</v>
      </c>
      <c r="H253">
        <v>548</v>
      </c>
      <c r="I253">
        <v>548</v>
      </c>
      <c r="J253">
        <v>0</v>
      </c>
      <c r="K253">
        <v>380</v>
      </c>
      <c r="L253">
        <v>251</v>
      </c>
      <c r="M253">
        <v>129</v>
      </c>
      <c r="N253">
        <v>129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129</v>
      </c>
      <c r="Z253">
        <v>0</v>
      </c>
      <c r="AA253">
        <v>0</v>
      </c>
      <c r="AB253">
        <v>129</v>
      </c>
      <c r="AC253">
        <v>11</v>
      </c>
      <c r="AD253">
        <v>118</v>
      </c>
      <c r="AE253">
        <v>1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1</v>
      </c>
      <c r="AQ253">
        <v>1</v>
      </c>
      <c r="AR253">
        <v>1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1</v>
      </c>
      <c r="BC253">
        <v>4</v>
      </c>
      <c r="BD253">
        <v>1</v>
      </c>
      <c r="BE253">
        <v>2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4</v>
      </c>
      <c r="BO253">
        <v>60</v>
      </c>
      <c r="BP253">
        <v>52</v>
      </c>
      <c r="BQ253">
        <v>0</v>
      </c>
      <c r="BR253">
        <v>1</v>
      </c>
      <c r="BS253">
        <v>6</v>
      </c>
      <c r="BT253">
        <v>0</v>
      </c>
      <c r="BU253">
        <v>0</v>
      </c>
      <c r="BV253">
        <v>0</v>
      </c>
      <c r="BW253">
        <v>0</v>
      </c>
      <c r="BX253">
        <v>1</v>
      </c>
      <c r="BY253">
        <v>0</v>
      </c>
      <c r="BZ253">
        <v>60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2</v>
      </c>
      <c r="CN253">
        <v>0</v>
      </c>
      <c r="CO253">
        <v>0</v>
      </c>
      <c r="CP253">
        <v>2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2</v>
      </c>
      <c r="CY253">
        <v>11</v>
      </c>
      <c r="CZ253">
        <v>8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1</v>
      </c>
      <c r="DG253">
        <v>0</v>
      </c>
      <c r="DH253">
        <v>0</v>
      </c>
      <c r="DI253">
        <v>2</v>
      </c>
      <c r="DJ253">
        <v>11</v>
      </c>
      <c r="DK253">
        <v>1</v>
      </c>
      <c r="DL253">
        <v>0</v>
      </c>
      <c r="DM253">
        <v>1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1</v>
      </c>
      <c r="DW253">
        <v>35</v>
      </c>
      <c r="DX253">
        <v>35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35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3</v>
      </c>
      <c r="ET253">
        <v>3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3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</row>
    <row r="254" spans="1:172" ht="14.25">
      <c r="A254">
        <v>249</v>
      </c>
      <c r="B254" t="str">
        <f t="shared" si="48"/>
        <v>101705</v>
      </c>
      <c r="C254" t="str">
        <f t="shared" si="49"/>
        <v>Osjaków</v>
      </c>
      <c r="D254" t="str">
        <f t="shared" si="43"/>
        <v>wieluński</v>
      </c>
      <c r="E254" t="str">
        <f t="shared" si="35"/>
        <v>łódzkie</v>
      </c>
      <c r="F254">
        <v>5</v>
      </c>
      <c r="G254" t="str">
        <f>"Oddział Przedszkolny, Chorzyna 27, 98-320 Osjaków"</f>
        <v>Oddział Przedszkolny, Chorzyna 27, 98-320 Osjaków</v>
      </c>
      <c r="H254">
        <v>590</v>
      </c>
      <c r="I254">
        <v>590</v>
      </c>
      <c r="J254">
        <v>0</v>
      </c>
      <c r="K254">
        <v>420</v>
      </c>
      <c r="L254">
        <v>293</v>
      </c>
      <c r="M254">
        <v>127</v>
      </c>
      <c r="N254">
        <v>127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127</v>
      </c>
      <c r="Z254">
        <v>0</v>
      </c>
      <c r="AA254">
        <v>0</v>
      </c>
      <c r="AB254">
        <v>127</v>
      </c>
      <c r="AC254">
        <v>8</v>
      </c>
      <c r="AD254">
        <v>119</v>
      </c>
      <c r="AE254">
        <v>2</v>
      </c>
      <c r="AF254">
        <v>0</v>
      </c>
      <c r="AG254">
        <v>0</v>
      </c>
      <c r="AH254">
        <v>0</v>
      </c>
      <c r="AI254">
        <v>1</v>
      </c>
      <c r="AJ254">
        <v>0</v>
      </c>
      <c r="AK254">
        <v>0</v>
      </c>
      <c r="AL254">
        <v>0</v>
      </c>
      <c r="AM254">
        <v>1</v>
      </c>
      <c r="AN254">
        <v>0</v>
      </c>
      <c r="AO254">
        <v>0</v>
      </c>
      <c r="AP254">
        <v>2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2</v>
      </c>
      <c r="BD254">
        <v>1</v>
      </c>
      <c r="BE254">
        <v>0</v>
      </c>
      <c r="BF254">
        <v>1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2</v>
      </c>
      <c r="BO254">
        <v>52</v>
      </c>
      <c r="BP254">
        <v>48</v>
      </c>
      <c r="BQ254">
        <v>1</v>
      </c>
      <c r="BR254">
        <v>0</v>
      </c>
      <c r="BS254">
        <v>2</v>
      </c>
      <c r="BT254">
        <v>0</v>
      </c>
      <c r="BU254">
        <v>0</v>
      </c>
      <c r="BV254">
        <v>0</v>
      </c>
      <c r="BW254">
        <v>0</v>
      </c>
      <c r="BX254">
        <v>1</v>
      </c>
      <c r="BY254">
        <v>0</v>
      </c>
      <c r="BZ254">
        <v>52</v>
      </c>
      <c r="CA254">
        <v>1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1</v>
      </c>
      <c r="CI254">
        <v>0</v>
      </c>
      <c r="CJ254">
        <v>0</v>
      </c>
      <c r="CK254">
        <v>0</v>
      </c>
      <c r="CL254">
        <v>1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8</v>
      </c>
      <c r="CZ254">
        <v>5</v>
      </c>
      <c r="DA254">
        <v>1</v>
      </c>
      <c r="DB254">
        <v>0</v>
      </c>
      <c r="DC254">
        <v>0</v>
      </c>
      <c r="DD254">
        <v>0</v>
      </c>
      <c r="DE254">
        <v>0</v>
      </c>
      <c r="DF254">
        <v>1</v>
      </c>
      <c r="DG254">
        <v>0</v>
      </c>
      <c r="DH254">
        <v>0</v>
      </c>
      <c r="DI254">
        <v>1</v>
      </c>
      <c r="DJ254">
        <v>8</v>
      </c>
      <c r="DK254">
        <v>2</v>
      </c>
      <c r="DL254">
        <v>1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1</v>
      </c>
      <c r="DS254">
        <v>0</v>
      </c>
      <c r="DT254">
        <v>0</v>
      </c>
      <c r="DU254">
        <v>0</v>
      </c>
      <c r="DV254">
        <v>2</v>
      </c>
      <c r="DW254">
        <v>44</v>
      </c>
      <c r="DX254">
        <v>43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1</v>
      </c>
      <c r="EE254">
        <v>0</v>
      </c>
      <c r="EF254">
        <v>0</v>
      </c>
      <c r="EG254">
        <v>0</v>
      </c>
      <c r="EH254">
        <v>44</v>
      </c>
      <c r="EI254">
        <v>1</v>
      </c>
      <c r="EJ254">
        <v>0</v>
      </c>
      <c r="EK254">
        <v>1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1</v>
      </c>
      <c r="ES254">
        <v>6</v>
      </c>
      <c r="ET254">
        <v>4</v>
      </c>
      <c r="EU254">
        <v>0</v>
      </c>
      <c r="EV254">
        <v>1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1</v>
      </c>
      <c r="FD254">
        <v>6</v>
      </c>
      <c r="FE254">
        <v>1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1</v>
      </c>
      <c r="FP254">
        <v>1</v>
      </c>
    </row>
    <row r="255" spans="1:172" ht="14.25">
      <c r="A255">
        <v>250</v>
      </c>
      <c r="B255" t="str">
        <f t="shared" si="48"/>
        <v>101705</v>
      </c>
      <c r="C255" t="str">
        <f t="shared" si="49"/>
        <v>Osjaków</v>
      </c>
      <c r="D255" t="str">
        <f t="shared" si="43"/>
        <v>wieluński</v>
      </c>
      <c r="E255" t="str">
        <f t="shared" si="35"/>
        <v>łódzkie</v>
      </c>
      <c r="F255">
        <v>6</v>
      </c>
      <c r="G255" t="str">
        <f>"Gminna Biblioteka Publiczna w Osjakowie, Częstochowska 22, 98-320 Osjaków"</f>
        <v>Gminna Biblioteka Publiczna w Osjakowie, Częstochowska 22, 98-320 Osjaków</v>
      </c>
      <c r="H255">
        <v>1088</v>
      </c>
      <c r="I255">
        <v>1088</v>
      </c>
      <c r="J255">
        <v>0</v>
      </c>
      <c r="K255">
        <v>760</v>
      </c>
      <c r="L255">
        <v>342</v>
      </c>
      <c r="M255">
        <v>418</v>
      </c>
      <c r="N255">
        <v>418</v>
      </c>
      <c r="O255">
        <v>0</v>
      </c>
      <c r="P255">
        <v>0</v>
      </c>
      <c r="Q255">
        <v>7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418</v>
      </c>
      <c r="Z255">
        <v>0</v>
      </c>
      <c r="AA255">
        <v>0</v>
      </c>
      <c r="AB255">
        <v>418</v>
      </c>
      <c r="AC255">
        <v>21</v>
      </c>
      <c r="AD255">
        <v>397</v>
      </c>
      <c r="AE255">
        <v>7</v>
      </c>
      <c r="AF255">
        <v>4</v>
      </c>
      <c r="AG255">
        <v>1</v>
      </c>
      <c r="AH255">
        <v>0</v>
      </c>
      <c r="AI255">
        <v>1</v>
      </c>
      <c r="AJ255">
        <v>0</v>
      </c>
      <c r="AK255">
        <v>0</v>
      </c>
      <c r="AL255">
        <v>0</v>
      </c>
      <c r="AM255">
        <v>1</v>
      </c>
      <c r="AN255">
        <v>0</v>
      </c>
      <c r="AO255">
        <v>0</v>
      </c>
      <c r="AP255">
        <v>7</v>
      </c>
      <c r="AQ255">
        <v>1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1</v>
      </c>
      <c r="BC255">
        <v>13</v>
      </c>
      <c r="BD255">
        <v>6</v>
      </c>
      <c r="BE255">
        <v>1</v>
      </c>
      <c r="BF255">
        <v>1</v>
      </c>
      <c r="BG255">
        <v>3</v>
      </c>
      <c r="BH255">
        <v>1</v>
      </c>
      <c r="BI255">
        <v>0</v>
      </c>
      <c r="BJ255">
        <v>0</v>
      </c>
      <c r="BK255">
        <v>0</v>
      </c>
      <c r="BL255">
        <v>0</v>
      </c>
      <c r="BM255">
        <v>1</v>
      </c>
      <c r="BN255">
        <v>13</v>
      </c>
      <c r="BO255">
        <v>146</v>
      </c>
      <c r="BP255">
        <v>136</v>
      </c>
      <c r="BQ255">
        <v>1</v>
      </c>
      <c r="BR255">
        <v>3</v>
      </c>
      <c r="BS255">
        <v>4</v>
      </c>
      <c r="BT255">
        <v>0</v>
      </c>
      <c r="BU255">
        <v>0</v>
      </c>
      <c r="BV255">
        <v>1</v>
      </c>
      <c r="BW255">
        <v>0</v>
      </c>
      <c r="BX255">
        <v>0</v>
      </c>
      <c r="BY255">
        <v>1</v>
      </c>
      <c r="BZ255">
        <v>146</v>
      </c>
      <c r="CA255">
        <v>5</v>
      </c>
      <c r="CB255">
        <v>3</v>
      </c>
      <c r="CC255">
        <v>0</v>
      </c>
      <c r="CD255">
        <v>1</v>
      </c>
      <c r="CE255">
        <v>0</v>
      </c>
      <c r="CF255">
        <v>0</v>
      </c>
      <c r="CG255">
        <v>0</v>
      </c>
      <c r="CH255">
        <v>1</v>
      </c>
      <c r="CI255">
        <v>0</v>
      </c>
      <c r="CJ255">
        <v>0</v>
      </c>
      <c r="CK255">
        <v>0</v>
      </c>
      <c r="CL255">
        <v>5</v>
      </c>
      <c r="CM255">
        <v>4</v>
      </c>
      <c r="CN255">
        <v>2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1</v>
      </c>
      <c r="CX255">
        <v>4</v>
      </c>
      <c r="CY255">
        <v>32</v>
      </c>
      <c r="CZ255">
        <v>21</v>
      </c>
      <c r="DA255">
        <v>3</v>
      </c>
      <c r="DB255">
        <v>1</v>
      </c>
      <c r="DC255">
        <v>1</v>
      </c>
      <c r="DD255">
        <v>3</v>
      </c>
      <c r="DE255">
        <v>0</v>
      </c>
      <c r="DF255">
        <v>0</v>
      </c>
      <c r="DG255">
        <v>0</v>
      </c>
      <c r="DH255">
        <v>1</v>
      </c>
      <c r="DI255">
        <v>2</v>
      </c>
      <c r="DJ255">
        <v>32</v>
      </c>
      <c r="DK255">
        <v>34</v>
      </c>
      <c r="DL255">
        <v>25</v>
      </c>
      <c r="DM255">
        <v>4</v>
      </c>
      <c r="DN255">
        <v>1</v>
      </c>
      <c r="DO255">
        <v>1</v>
      </c>
      <c r="DP255">
        <v>0</v>
      </c>
      <c r="DQ255">
        <v>1</v>
      </c>
      <c r="DR255">
        <v>1</v>
      </c>
      <c r="DS255">
        <v>1</v>
      </c>
      <c r="DT255">
        <v>0</v>
      </c>
      <c r="DU255">
        <v>0</v>
      </c>
      <c r="DV255">
        <v>34</v>
      </c>
      <c r="DW255">
        <v>130</v>
      </c>
      <c r="DX255">
        <v>125</v>
      </c>
      <c r="DY255">
        <v>3</v>
      </c>
      <c r="DZ255">
        <v>0</v>
      </c>
      <c r="EA255">
        <v>0</v>
      </c>
      <c r="EB255">
        <v>0</v>
      </c>
      <c r="EC255">
        <v>1</v>
      </c>
      <c r="ED255">
        <v>1</v>
      </c>
      <c r="EE255">
        <v>0</v>
      </c>
      <c r="EF255">
        <v>0</v>
      </c>
      <c r="EG255">
        <v>0</v>
      </c>
      <c r="EH255">
        <v>130</v>
      </c>
      <c r="EI255">
        <v>1</v>
      </c>
      <c r="EJ255">
        <v>0</v>
      </c>
      <c r="EK255">
        <v>1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22</v>
      </c>
      <c r="ET255">
        <v>22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22</v>
      </c>
      <c r="FE255">
        <v>2</v>
      </c>
      <c r="FF255">
        <v>2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2</v>
      </c>
    </row>
    <row r="256" spans="1:172" ht="14.25">
      <c r="A256">
        <v>251</v>
      </c>
      <c r="B256" t="str">
        <f aca="true" t="shared" si="50" ref="B256:B261">"101706"</f>
        <v>101706</v>
      </c>
      <c r="C256" t="str">
        <f aca="true" t="shared" si="51" ref="C256:C261">"Ostrówek"</f>
        <v>Ostrówek</v>
      </c>
      <c r="D256" t="str">
        <f t="shared" si="43"/>
        <v>wieluński</v>
      </c>
      <c r="E256" t="str">
        <f t="shared" si="35"/>
        <v>łódzkie</v>
      </c>
      <c r="F256">
        <v>1</v>
      </c>
      <c r="G256" t="str">
        <f>"Gminny Ośrodek Upowszechniania Kultury i Sportu w Ostrówku, Ostrówek 94, 98-311 Ostrówek"</f>
        <v>Gminny Ośrodek Upowszechniania Kultury i Sportu w Ostrówku, Ostrówek 94, 98-311 Ostrówek</v>
      </c>
      <c r="H256">
        <v>838</v>
      </c>
      <c r="I256">
        <v>838</v>
      </c>
      <c r="J256">
        <v>0</v>
      </c>
      <c r="K256">
        <v>585</v>
      </c>
      <c r="L256">
        <v>425</v>
      </c>
      <c r="M256">
        <v>160</v>
      </c>
      <c r="N256">
        <v>160</v>
      </c>
      <c r="O256">
        <v>0</v>
      </c>
      <c r="P256">
        <v>0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160</v>
      </c>
      <c r="Z256">
        <v>0</v>
      </c>
      <c r="AA256">
        <v>0</v>
      </c>
      <c r="AB256">
        <v>160</v>
      </c>
      <c r="AC256">
        <v>5</v>
      </c>
      <c r="AD256">
        <v>155</v>
      </c>
      <c r="AE256">
        <v>3</v>
      </c>
      <c r="AF256">
        <v>3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3</v>
      </c>
      <c r="AQ256">
        <v>2</v>
      </c>
      <c r="AR256">
        <v>1</v>
      </c>
      <c r="AS256">
        <v>0</v>
      </c>
      <c r="AT256">
        <v>0</v>
      </c>
      <c r="AU256">
        <v>0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2</v>
      </c>
      <c r="BC256">
        <v>15</v>
      </c>
      <c r="BD256">
        <v>14</v>
      </c>
      <c r="BE256">
        <v>1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15</v>
      </c>
      <c r="BO256">
        <v>64</v>
      </c>
      <c r="BP256">
        <v>57</v>
      </c>
      <c r="BQ256">
        <v>3</v>
      </c>
      <c r="BR256">
        <v>0</v>
      </c>
      <c r="BS256">
        <v>0</v>
      </c>
      <c r="BT256">
        <v>1</v>
      </c>
      <c r="BU256">
        <v>0</v>
      </c>
      <c r="BV256">
        <v>1</v>
      </c>
      <c r="BW256">
        <v>0</v>
      </c>
      <c r="BX256">
        <v>1</v>
      </c>
      <c r="BY256">
        <v>1</v>
      </c>
      <c r="BZ256">
        <v>64</v>
      </c>
      <c r="CA256">
        <v>5</v>
      </c>
      <c r="CB256">
        <v>2</v>
      </c>
      <c r="CC256">
        <v>1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1</v>
      </c>
      <c r="CJ256">
        <v>0</v>
      </c>
      <c r="CK256">
        <v>1</v>
      </c>
      <c r="CL256">
        <v>5</v>
      </c>
      <c r="CM256">
        <v>8</v>
      </c>
      <c r="CN256">
        <v>5</v>
      </c>
      <c r="CO256">
        <v>1</v>
      </c>
      <c r="CP256">
        <v>0</v>
      </c>
      <c r="CQ256">
        <v>0</v>
      </c>
      <c r="CR256">
        <v>0</v>
      </c>
      <c r="CS256">
        <v>0</v>
      </c>
      <c r="CT256">
        <v>1</v>
      </c>
      <c r="CU256">
        <v>0</v>
      </c>
      <c r="CV256">
        <v>0</v>
      </c>
      <c r="CW256">
        <v>1</v>
      </c>
      <c r="CX256">
        <v>8</v>
      </c>
      <c r="CY256">
        <v>11</v>
      </c>
      <c r="CZ256">
        <v>4</v>
      </c>
      <c r="DA256">
        <v>3</v>
      </c>
      <c r="DB256">
        <v>0</v>
      </c>
      <c r="DC256">
        <v>0</v>
      </c>
      <c r="DD256">
        <v>0</v>
      </c>
      <c r="DE256">
        <v>1</v>
      </c>
      <c r="DF256">
        <v>1</v>
      </c>
      <c r="DG256">
        <v>1</v>
      </c>
      <c r="DH256">
        <v>1</v>
      </c>
      <c r="DI256">
        <v>0</v>
      </c>
      <c r="DJ256">
        <v>11</v>
      </c>
      <c r="DK256">
        <v>21</v>
      </c>
      <c r="DL256">
        <v>13</v>
      </c>
      <c r="DM256">
        <v>3</v>
      </c>
      <c r="DN256">
        <v>0</v>
      </c>
      <c r="DO256">
        <v>3</v>
      </c>
      <c r="DP256">
        <v>0</v>
      </c>
      <c r="DQ256">
        <v>0</v>
      </c>
      <c r="DR256">
        <v>0</v>
      </c>
      <c r="DS256">
        <v>0</v>
      </c>
      <c r="DT256">
        <v>1</v>
      </c>
      <c r="DU256">
        <v>1</v>
      </c>
      <c r="DV256">
        <v>21</v>
      </c>
      <c r="DW256">
        <v>26</v>
      </c>
      <c r="DX256">
        <v>22</v>
      </c>
      <c r="DY256">
        <v>0</v>
      </c>
      <c r="DZ256">
        <v>0</v>
      </c>
      <c r="EA256">
        <v>0</v>
      </c>
      <c r="EB256">
        <v>0</v>
      </c>
      <c r="EC256">
        <v>1</v>
      </c>
      <c r="ED256">
        <v>2</v>
      </c>
      <c r="EE256">
        <v>0</v>
      </c>
      <c r="EF256">
        <v>1</v>
      </c>
      <c r="EG256">
        <v>0</v>
      </c>
      <c r="EH256">
        <v>26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</row>
    <row r="257" spans="1:172" ht="14.25">
      <c r="A257">
        <v>252</v>
      </c>
      <c r="B257" t="str">
        <f t="shared" si="50"/>
        <v>101706</v>
      </c>
      <c r="C257" t="str">
        <f t="shared" si="51"/>
        <v>Ostrówek</v>
      </c>
      <c r="D257" t="str">
        <f t="shared" si="43"/>
        <v>wieluński</v>
      </c>
      <c r="E257" t="str">
        <f t="shared" si="35"/>
        <v>łódzkie</v>
      </c>
      <c r="F257">
        <v>2</v>
      </c>
      <c r="G257" t="str">
        <f>"Szkoła Podstawowa w Janowie, Janów 40, 98-311 Ostrówek"</f>
        <v>Szkoła Podstawowa w Janowie, Janów 40, 98-311 Ostrówek</v>
      </c>
      <c r="H257">
        <v>634</v>
      </c>
      <c r="I257">
        <v>634</v>
      </c>
      <c r="J257">
        <v>0</v>
      </c>
      <c r="K257">
        <v>456</v>
      </c>
      <c r="L257">
        <v>361</v>
      </c>
      <c r="M257">
        <v>95</v>
      </c>
      <c r="N257">
        <v>95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95</v>
      </c>
      <c r="Z257">
        <v>0</v>
      </c>
      <c r="AA257">
        <v>0</v>
      </c>
      <c r="AB257">
        <v>95</v>
      </c>
      <c r="AC257">
        <v>5</v>
      </c>
      <c r="AD257">
        <v>90</v>
      </c>
      <c r="AE257">
        <v>7</v>
      </c>
      <c r="AF257">
        <v>5</v>
      </c>
      <c r="AG257">
        <v>0</v>
      </c>
      <c r="AH257">
        <v>2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7</v>
      </c>
      <c r="AQ257">
        <v>1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1</v>
      </c>
      <c r="BA257">
        <v>0</v>
      </c>
      <c r="BB257">
        <v>1</v>
      </c>
      <c r="BC257">
        <v>3</v>
      </c>
      <c r="BD257">
        <v>1</v>
      </c>
      <c r="BE257">
        <v>2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3</v>
      </c>
      <c r="BO257">
        <v>50</v>
      </c>
      <c r="BP257">
        <v>44</v>
      </c>
      <c r="BQ257">
        <v>1</v>
      </c>
      <c r="BR257">
        <v>1</v>
      </c>
      <c r="BS257">
        <v>2</v>
      </c>
      <c r="BT257">
        <v>0</v>
      </c>
      <c r="BU257">
        <v>0</v>
      </c>
      <c r="BV257">
        <v>0</v>
      </c>
      <c r="BW257">
        <v>1</v>
      </c>
      <c r="BX257">
        <v>1</v>
      </c>
      <c r="BY257">
        <v>0</v>
      </c>
      <c r="BZ257">
        <v>50</v>
      </c>
      <c r="CA257">
        <v>3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1</v>
      </c>
      <c r="CH257">
        <v>0</v>
      </c>
      <c r="CI257">
        <v>1</v>
      </c>
      <c r="CJ257">
        <v>1</v>
      </c>
      <c r="CK257">
        <v>0</v>
      </c>
      <c r="CL257">
        <v>3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1</v>
      </c>
      <c r="CZ257">
        <v>1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1</v>
      </c>
      <c r="DK257">
        <v>9</v>
      </c>
      <c r="DL257">
        <v>6</v>
      </c>
      <c r="DM257">
        <v>0</v>
      </c>
      <c r="DN257">
        <v>0</v>
      </c>
      <c r="DO257">
        <v>1</v>
      </c>
      <c r="DP257">
        <v>1</v>
      </c>
      <c r="DQ257">
        <v>0</v>
      </c>
      <c r="DR257">
        <v>1</v>
      </c>
      <c r="DS257">
        <v>0</v>
      </c>
      <c r="DT257">
        <v>0</v>
      </c>
      <c r="DU257">
        <v>0</v>
      </c>
      <c r="DV257">
        <v>9</v>
      </c>
      <c r="DW257">
        <v>16</v>
      </c>
      <c r="DX257">
        <v>8</v>
      </c>
      <c r="DY257">
        <v>0</v>
      </c>
      <c r="DZ257">
        <v>0</v>
      </c>
      <c r="EA257">
        <v>4</v>
      </c>
      <c r="EB257">
        <v>1</v>
      </c>
      <c r="EC257">
        <v>0</v>
      </c>
      <c r="ED257">
        <v>2</v>
      </c>
      <c r="EE257">
        <v>0</v>
      </c>
      <c r="EF257">
        <v>1</v>
      </c>
      <c r="EG257">
        <v>0</v>
      </c>
      <c r="EH257">
        <v>16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</row>
    <row r="258" spans="1:172" ht="14.25">
      <c r="A258">
        <v>253</v>
      </c>
      <c r="B258" t="str">
        <f t="shared" si="50"/>
        <v>101706</v>
      </c>
      <c r="C258" t="str">
        <f t="shared" si="51"/>
        <v>Ostrówek</v>
      </c>
      <c r="D258" t="str">
        <f t="shared" si="43"/>
        <v>wieluński</v>
      </c>
      <c r="E258" t="str">
        <f t="shared" si="35"/>
        <v>łódzkie</v>
      </c>
      <c r="F258">
        <v>3</v>
      </c>
      <c r="G258" t="str">
        <f>"Szkoła Podstawowa w Okalewie, Okalew 19, 98-311 Ostrówek"</f>
        <v>Szkoła Podstawowa w Okalewie, Okalew 19, 98-311 Ostrówek</v>
      </c>
      <c r="H258">
        <v>694</v>
      </c>
      <c r="I258">
        <v>694</v>
      </c>
      <c r="J258">
        <v>0</v>
      </c>
      <c r="K258">
        <v>490</v>
      </c>
      <c r="L258">
        <v>363</v>
      </c>
      <c r="M258">
        <v>127</v>
      </c>
      <c r="N258">
        <v>127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127</v>
      </c>
      <c r="Z258">
        <v>0</v>
      </c>
      <c r="AA258">
        <v>0</v>
      </c>
      <c r="AB258">
        <v>127</v>
      </c>
      <c r="AC258">
        <v>7</v>
      </c>
      <c r="AD258">
        <v>120</v>
      </c>
      <c r="AE258">
        <v>2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1</v>
      </c>
      <c r="AL258">
        <v>0</v>
      </c>
      <c r="AM258">
        <v>0</v>
      </c>
      <c r="AN258">
        <v>1</v>
      </c>
      <c r="AO258">
        <v>0</v>
      </c>
      <c r="AP258">
        <v>2</v>
      </c>
      <c r="AQ258">
        <v>1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1</v>
      </c>
      <c r="AY258">
        <v>0</v>
      </c>
      <c r="AZ258">
        <v>0</v>
      </c>
      <c r="BA258">
        <v>0</v>
      </c>
      <c r="BB258">
        <v>1</v>
      </c>
      <c r="BC258">
        <v>9</v>
      </c>
      <c r="BD258">
        <v>8</v>
      </c>
      <c r="BE258">
        <v>1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9</v>
      </c>
      <c r="BO258">
        <v>63</v>
      </c>
      <c r="BP258">
        <v>57</v>
      </c>
      <c r="BQ258">
        <v>1</v>
      </c>
      <c r="BR258">
        <v>0</v>
      </c>
      <c r="BS258">
        <v>3</v>
      </c>
      <c r="BT258">
        <v>0</v>
      </c>
      <c r="BU258">
        <v>2</v>
      </c>
      <c r="BV258">
        <v>0</v>
      </c>
      <c r="BW258">
        <v>0</v>
      </c>
      <c r="BX258">
        <v>0</v>
      </c>
      <c r="BY258">
        <v>0</v>
      </c>
      <c r="BZ258">
        <v>63</v>
      </c>
      <c r="CA258">
        <v>2</v>
      </c>
      <c r="CB258">
        <v>0</v>
      </c>
      <c r="CC258">
        <v>0</v>
      </c>
      <c r="CD258">
        <v>0</v>
      </c>
      <c r="CE258">
        <v>0</v>
      </c>
      <c r="CF258">
        <v>1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2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3</v>
      </c>
      <c r="CZ258">
        <v>2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1</v>
      </c>
      <c r="DI258">
        <v>0</v>
      </c>
      <c r="DJ258">
        <v>3</v>
      </c>
      <c r="DK258">
        <v>8</v>
      </c>
      <c r="DL258">
        <v>6</v>
      </c>
      <c r="DM258">
        <v>1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1</v>
      </c>
      <c r="DT258">
        <v>0</v>
      </c>
      <c r="DU258">
        <v>0</v>
      </c>
      <c r="DV258">
        <v>8</v>
      </c>
      <c r="DW258">
        <v>31</v>
      </c>
      <c r="DX258">
        <v>24</v>
      </c>
      <c r="DY258">
        <v>0</v>
      </c>
      <c r="DZ258">
        <v>0</v>
      </c>
      <c r="EA258">
        <v>0</v>
      </c>
      <c r="EB258">
        <v>1</v>
      </c>
      <c r="EC258">
        <v>0</v>
      </c>
      <c r="ED258">
        <v>5</v>
      </c>
      <c r="EE258">
        <v>0</v>
      </c>
      <c r="EF258">
        <v>1</v>
      </c>
      <c r="EG258">
        <v>0</v>
      </c>
      <c r="EH258">
        <v>31</v>
      </c>
      <c r="EI258">
        <v>1</v>
      </c>
      <c r="EJ258">
        <v>0</v>
      </c>
      <c r="EK258">
        <v>0</v>
      </c>
      <c r="EL258">
        <v>0</v>
      </c>
      <c r="EM258">
        <v>0</v>
      </c>
      <c r="EN258">
        <v>1</v>
      </c>
      <c r="EO258">
        <v>0</v>
      </c>
      <c r="EP258">
        <v>0</v>
      </c>
      <c r="EQ258">
        <v>0</v>
      </c>
      <c r="ER258">
        <v>1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</row>
    <row r="259" spans="1:172" ht="14.25">
      <c r="A259">
        <v>254</v>
      </c>
      <c r="B259" t="str">
        <f t="shared" si="50"/>
        <v>101706</v>
      </c>
      <c r="C259" t="str">
        <f t="shared" si="51"/>
        <v>Ostrówek</v>
      </c>
      <c r="D259" t="str">
        <f aca="true" t="shared" si="52" ref="D259:D290">"wieluński"</f>
        <v>wieluński</v>
      </c>
      <c r="E259" t="str">
        <f t="shared" si="35"/>
        <v>łódzkie</v>
      </c>
      <c r="F259">
        <v>4</v>
      </c>
      <c r="G259" t="str">
        <f>"Szkoła Podstawowa w Skrzynnie, Skrzynno 96, 98-311 Ostrówek"</f>
        <v>Szkoła Podstawowa w Skrzynnie, Skrzynno 96, 98-311 Ostrówek</v>
      </c>
      <c r="H259">
        <v>742</v>
      </c>
      <c r="I259">
        <v>742</v>
      </c>
      <c r="J259">
        <v>0</v>
      </c>
      <c r="K259">
        <v>518</v>
      </c>
      <c r="L259">
        <v>398</v>
      </c>
      <c r="M259">
        <v>120</v>
      </c>
      <c r="N259">
        <v>120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120</v>
      </c>
      <c r="Z259">
        <v>0</v>
      </c>
      <c r="AA259">
        <v>0</v>
      </c>
      <c r="AB259">
        <v>120</v>
      </c>
      <c r="AC259">
        <v>6</v>
      </c>
      <c r="AD259">
        <v>114</v>
      </c>
      <c r="AE259">
        <v>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1</v>
      </c>
      <c r="AQ259">
        <v>1</v>
      </c>
      <c r="AR259">
        <v>0</v>
      </c>
      <c r="AS259">
        <v>1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1</v>
      </c>
      <c r="BC259">
        <v>7</v>
      </c>
      <c r="BD259">
        <v>7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7</v>
      </c>
      <c r="BO259">
        <v>47</v>
      </c>
      <c r="BP259">
        <v>42</v>
      </c>
      <c r="BQ259">
        <v>1</v>
      </c>
      <c r="BR259">
        <v>0</v>
      </c>
      <c r="BS259">
        <v>3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1</v>
      </c>
      <c r="BZ259">
        <v>47</v>
      </c>
      <c r="CA259">
        <v>3</v>
      </c>
      <c r="CB259">
        <v>1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2</v>
      </c>
      <c r="CK259">
        <v>0</v>
      </c>
      <c r="CL259">
        <v>3</v>
      </c>
      <c r="CM259">
        <v>3</v>
      </c>
      <c r="CN259">
        <v>2</v>
      </c>
      <c r="CO259">
        <v>1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3</v>
      </c>
      <c r="CY259">
        <v>4</v>
      </c>
      <c r="CZ259">
        <v>4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4</v>
      </c>
      <c r="DK259">
        <v>19</v>
      </c>
      <c r="DL259">
        <v>15</v>
      </c>
      <c r="DM259">
        <v>1</v>
      </c>
      <c r="DN259">
        <v>0</v>
      </c>
      <c r="DO259">
        <v>0</v>
      </c>
      <c r="DP259">
        <v>1</v>
      </c>
      <c r="DQ259">
        <v>0</v>
      </c>
      <c r="DR259">
        <v>1</v>
      </c>
      <c r="DS259">
        <v>0</v>
      </c>
      <c r="DT259">
        <v>0</v>
      </c>
      <c r="DU259">
        <v>1</v>
      </c>
      <c r="DV259">
        <v>19</v>
      </c>
      <c r="DW259">
        <v>28</v>
      </c>
      <c r="DX259">
        <v>24</v>
      </c>
      <c r="DY259">
        <v>1</v>
      </c>
      <c r="DZ259">
        <v>0</v>
      </c>
      <c r="EA259">
        <v>0</v>
      </c>
      <c r="EB259">
        <v>1</v>
      </c>
      <c r="EC259">
        <v>2</v>
      </c>
      <c r="ED259">
        <v>0</v>
      </c>
      <c r="EE259">
        <v>0</v>
      </c>
      <c r="EF259">
        <v>0</v>
      </c>
      <c r="EG259">
        <v>0</v>
      </c>
      <c r="EH259">
        <v>28</v>
      </c>
      <c r="EI259">
        <v>1</v>
      </c>
      <c r="EJ259">
        <v>0</v>
      </c>
      <c r="EK259">
        <v>1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1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</row>
    <row r="260" spans="1:172" ht="14.25">
      <c r="A260">
        <v>255</v>
      </c>
      <c r="B260" t="str">
        <f t="shared" si="50"/>
        <v>101706</v>
      </c>
      <c r="C260" t="str">
        <f t="shared" si="51"/>
        <v>Ostrówek</v>
      </c>
      <c r="D260" t="str">
        <f t="shared" si="52"/>
        <v>wieluński</v>
      </c>
      <c r="E260" t="str">
        <f t="shared" si="35"/>
        <v>łódzkie</v>
      </c>
      <c r="F260">
        <v>5</v>
      </c>
      <c r="G260" t="str">
        <f>"Szkoła Podstawowa w Wielgiem, Wielgie 27, 98-311 Ostrówek"</f>
        <v>Szkoła Podstawowa w Wielgiem, Wielgie 27, 98-311 Ostrówek</v>
      </c>
      <c r="H260">
        <v>648</v>
      </c>
      <c r="I260">
        <v>648</v>
      </c>
      <c r="J260">
        <v>0</v>
      </c>
      <c r="K260">
        <v>450</v>
      </c>
      <c r="L260">
        <v>334</v>
      </c>
      <c r="M260">
        <v>116</v>
      </c>
      <c r="N260">
        <v>116</v>
      </c>
      <c r="O260">
        <v>0</v>
      </c>
      <c r="P260">
        <v>0</v>
      </c>
      <c r="Q260">
        <v>6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116</v>
      </c>
      <c r="Z260">
        <v>0</v>
      </c>
      <c r="AA260">
        <v>0</v>
      </c>
      <c r="AB260">
        <v>116</v>
      </c>
      <c r="AC260">
        <v>9</v>
      </c>
      <c r="AD260">
        <v>107</v>
      </c>
      <c r="AE260">
        <v>5</v>
      </c>
      <c r="AF260">
        <v>1</v>
      </c>
      <c r="AG260">
        <v>0</v>
      </c>
      <c r="AH260">
        <v>3</v>
      </c>
      <c r="AI260">
        <v>0</v>
      </c>
      <c r="AJ260">
        <v>0</v>
      </c>
      <c r="AK260">
        <v>1</v>
      </c>
      <c r="AL260">
        <v>0</v>
      </c>
      <c r="AM260">
        <v>0</v>
      </c>
      <c r="AN260">
        <v>0</v>
      </c>
      <c r="AO260">
        <v>0</v>
      </c>
      <c r="AP260">
        <v>5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2</v>
      </c>
      <c r="BD260">
        <v>0</v>
      </c>
      <c r="BE260">
        <v>1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1</v>
      </c>
      <c r="BM260">
        <v>0</v>
      </c>
      <c r="BN260">
        <v>2</v>
      </c>
      <c r="BO260">
        <v>49</v>
      </c>
      <c r="BP260">
        <v>41</v>
      </c>
      <c r="BQ260">
        <v>3</v>
      </c>
      <c r="BR260">
        <v>0</v>
      </c>
      <c r="BS260">
        <v>3</v>
      </c>
      <c r="BT260">
        <v>0</v>
      </c>
      <c r="BU260">
        <v>0</v>
      </c>
      <c r="BV260">
        <v>1</v>
      </c>
      <c r="BW260">
        <v>0</v>
      </c>
      <c r="BX260">
        <v>1</v>
      </c>
      <c r="BY260">
        <v>0</v>
      </c>
      <c r="BZ260">
        <v>49</v>
      </c>
      <c r="CA260">
        <v>1</v>
      </c>
      <c r="CB260">
        <v>1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1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7</v>
      </c>
      <c r="CZ260">
        <v>4</v>
      </c>
      <c r="DA260">
        <v>1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1</v>
      </c>
      <c r="DI260">
        <v>1</v>
      </c>
      <c r="DJ260">
        <v>7</v>
      </c>
      <c r="DK260">
        <v>20</v>
      </c>
      <c r="DL260">
        <v>10</v>
      </c>
      <c r="DM260">
        <v>4</v>
      </c>
      <c r="DN260">
        <v>0</v>
      </c>
      <c r="DO260">
        <v>2</v>
      </c>
      <c r="DP260">
        <v>0</v>
      </c>
      <c r="DQ260">
        <v>0</v>
      </c>
      <c r="DR260">
        <v>0</v>
      </c>
      <c r="DS260">
        <v>0</v>
      </c>
      <c r="DT260">
        <v>1</v>
      </c>
      <c r="DU260">
        <v>3</v>
      </c>
      <c r="DV260">
        <v>20</v>
      </c>
      <c r="DW260">
        <v>23</v>
      </c>
      <c r="DX260">
        <v>18</v>
      </c>
      <c r="DY260">
        <v>1</v>
      </c>
      <c r="DZ260">
        <v>0</v>
      </c>
      <c r="EA260">
        <v>0</v>
      </c>
      <c r="EB260">
        <v>0</v>
      </c>
      <c r="EC260">
        <v>0</v>
      </c>
      <c r="ED260">
        <v>2</v>
      </c>
      <c r="EE260">
        <v>1</v>
      </c>
      <c r="EF260">
        <v>1</v>
      </c>
      <c r="EG260">
        <v>0</v>
      </c>
      <c r="EH260">
        <v>23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</row>
    <row r="261" spans="1:172" ht="14.25">
      <c r="A261">
        <v>256</v>
      </c>
      <c r="B261" t="str">
        <f t="shared" si="50"/>
        <v>101706</v>
      </c>
      <c r="C261" t="str">
        <f t="shared" si="51"/>
        <v>Ostrówek</v>
      </c>
      <c r="D261" t="str">
        <f t="shared" si="52"/>
        <v>wieluński</v>
      </c>
      <c r="E261" t="str">
        <f t="shared" si="35"/>
        <v>łódzkie</v>
      </c>
      <c r="F261">
        <v>6</v>
      </c>
      <c r="G261" t="str">
        <f>"Dom Pomocy Społecznej, Skrzynno 13, 98-311 Skrzynno"</f>
        <v>Dom Pomocy Społecznej, Skrzynno 13, 98-311 Skrzynno</v>
      </c>
      <c r="H261">
        <v>91</v>
      </c>
      <c r="I261">
        <v>91</v>
      </c>
      <c r="J261">
        <v>0</v>
      </c>
      <c r="K261">
        <v>88</v>
      </c>
      <c r="L261">
        <v>42</v>
      </c>
      <c r="M261">
        <v>46</v>
      </c>
      <c r="N261">
        <v>46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46</v>
      </c>
      <c r="Z261">
        <v>0</v>
      </c>
      <c r="AA261">
        <v>0</v>
      </c>
      <c r="AB261">
        <v>46</v>
      </c>
      <c r="AC261">
        <v>4</v>
      </c>
      <c r="AD261">
        <v>42</v>
      </c>
      <c r="AE261">
        <v>14</v>
      </c>
      <c r="AF261">
        <v>7</v>
      </c>
      <c r="AG261">
        <v>0</v>
      </c>
      <c r="AH261">
        <v>0</v>
      </c>
      <c r="AI261">
        <v>2</v>
      </c>
      <c r="AJ261">
        <v>0</v>
      </c>
      <c r="AK261">
        <v>1</v>
      </c>
      <c r="AL261">
        <v>1</v>
      </c>
      <c r="AM261">
        <v>0</v>
      </c>
      <c r="AN261">
        <v>2</v>
      </c>
      <c r="AO261">
        <v>1</v>
      </c>
      <c r="AP261">
        <v>14</v>
      </c>
      <c r="AQ261">
        <v>2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0</v>
      </c>
      <c r="AZ261">
        <v>0</v>
      </c>
      <c r="BA261">
        <v>1</v>
      </c>
      <c r="BB261">
        <v>2</v>
      </c>
      <c r="BC261">
        <v>4</v>
      </c>
      <c r="BD261">
        <v>1</v>
      </c>
      <c r="BE261">
        <v>0</v>
      </c>
      <c r="BF261">
        <v>1</v>
      </c>
      <c r="BG261">
        <v>0</v>
      </c>
      <c r="BH261">
        <v>2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4</v>
      </c>
      <c r="BO261">
        <v>8</v>
      </c>
      <c r="BP261">
        <v>4</v>
      </c>
      <c r="BQ261">
        <v>1</v>
      </c>
      <c r="BR261">
        <v>0</v>
      </c>
      <c r="BS261">
        <v>1</v>
      </c>
      <c r="BT261">
        <v>1</v>
      </c>
      <c r="BU261">
        <v>0</v>
      </c>
      <c r="BV261">
        <v>0</v>
      </c>
      <c r="BW261">
        <v>0</v>
      </c>
      <c r="BX261">
        <v>1</v>
      </c>
      <c r="BY261">
        <v>0</v>
      </c>
      <c r="BZ261">
        <v>8</v>
      </c>
      <c r="CA261">
        <v>3</v>
      </c>
      <c r="CB261">
        <v>0</v>
      </c>
      <c r="CC261">
        <v>0</v>
      </c>
      <c r="CD261">
        <v>2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1</v>
      </c>
      <c r="CK261">
        <v>0</v>
      </c>
      <c r="CL261">
        <v>3</v>
      </c>
      <c r="CM261">
        <v>2</v>
      </c>
      <c r="CN261">
        <v>0</v>
      </c>
      <c r="CO261">
        <v>0</v>
      </c>
      <c r="CP261">
        <v>0</v>
      </c>
      <c r="CQ261">
        <v>1</v>
      </c>
      <c r="CR261">
        <v>0</v>
      </c>
      <c r="CS261">
        <v>1</v>
      </c>
      <c r="CT261">
        <v>0</v>
      </c>
      <c r="CU261">
        <v>0</v>
      </c>
      <c r="CV261">
        <v>0</v>
      </c>
      <c r="CW261">
        <v>0</v>
      </c>
      <c r="CX261">
        <v>2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3</v>
      </c>
      <c r="DL261">
        <v>2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1</v>
      </c>
      <c r="DT261">
        <v>0</v>
      </c>
      <c r="DU261">
        <v>0</v>
      </c>
      <c r="DV261">
        <v>3</v>
      </c>
      <c r="DW261">
        <v>5</v>
      </c>
      <c r="DX261">
        <v>4</v>
      </c>
      <c r="DY261">
        <v>0</v>
      </c>
      <c r="DZ261">
        <v>0</v>
      </c>
      <c r="EA261">
        <v>1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5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1</v>
      </c>
      <c r="ET261">
        <v>0</v>
      </c>
      <c r="EU261">
        <v>1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1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</row>
    <row r="262" spans="1:172" ht="14.25">
      <c r="A262">
        <v>257</v>
      </c>
      <c r="B262" t="str">
        <f aca="true" t="shared" si="53" ref="B262:B270">"101707"</f>
        <v>101707</v>
      </c>
      <c r="C262" t="str">
        <f aca="true" t="shared" si="54" ref="C262:C270">"Pątnów"</f>
        <v>Pątnów</v>
      </c>
      <c r="D262" t="str">
        <f t="shared" si="52"/>
        <v>wieluński</v>
      </c>
      <c r="E262" t="str">
        <f aca="true" t="shared" si="55" ref="E262:E325">"łódzkie"</f>
        <v>łódzkie</v>
      </c>
      <c r="F262">
        <v>1</v>
      </c>
      <c r="G262" t="str">
        <f>"Publiczna Szkoła Podstawowa Stowarzyszenia Przyjaciół Szkół Katolickich w Bieńcu, Bieniec 9, 98-335 Pątnów"</f>
        <v>Publiczna Szkoła Podstawowa Stowarzyszenia Przyjaciół Szkół Katolickich w Bieńcu, Bieniec 9, 98-335 Pątnów</v>
      </c>
      <c r="H262">
        <v>425</v>
      </c>
      <c r="I262">
        <v>425</v>
      </c>
      <c r="J262">
        <v>0</v>
      </c>
      <c r="K262">
        <v>300</v>
      </c>
      <c r="L262">
        <v>198</v>
      </c>
      <c r="M262">
        <v>102</v>
      </c>
      <c r="N262">
        <v>102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102</v>
      </c>
      <c r="Z262">
        <v>0</v>
      </c>
      <c r="AA262">
        <v>0</v>
      </c>
      <c r="AB262">
        <v>102</v>
      </c>
      <c r="AC262">
        <v>7</v>
      </c>
      <c r="AD262">
        <v>95</v>
      </c>
      <c r="AE262">
        <v>1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0</v>
      </c>
      <c r="AP262">
        <v>1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2</v>
      </c>
      <c r="BD262">
        <v>1</v>
      </c>
      <c r="BE262">
        <v>1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2</v>
      </c>
      <c r="BO262">
        <v>56</v>
      </c>
      <c r="BP262">
        <v>47</v>
      </c>
      <c r="BQ262">
        <v>3</v>
      </c>
      <c r="BR262">
        <v>0</v>
      </c>
      <c r="BS262">
        <v>5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1</v>
      </c>
      <c r="BZ262">
        <v>56</v>
      </c>
      <c r="CA262">
        <v>2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2</v>
      </c>
      <c r="CI262">
        <v>0</v>
      </c>
      <c r="CJ262">
        <v>0</v>
      </c>
      <c r="CK262">
        <v>0</v>
      </c>
      <c r="CL262">
        <v>2</v>
      </c>
      <c r="CM262">
        <v>1</v>
      </c>
      <c r="CN262">
        <v>0</v>
      </c>
      <c r="CO262">
        <v>1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1</v>
      </c>
      <c r="CY262">
        <v>10</v>
      </c>
      <c r="CZ262">
        <v>10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10</v>
      </c>
      <c r="DK262">
        <v>3</v>
      </c>
      <c r="DL262">
        <v>3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3</v>
      </c>
      <c r="DW262">
        <v>20</v>
      </c>
      <c r="DX262">
        <v>14</v>
      </c>
      <c r="DY262">
        <v>0</v>
      </c>
      <c r="DZ262">
        <v>0</v>
      </c>
      <c r="EA262">
        <v>1</v>
      </c>
      <c r="EB262">
        <v>0</v>
      </c>
      <c r="EC262">
        <v>0</v>
      </c>
      <c r="ED262">
        <v>4</v>
      </c>
      <c r="EE262">
        <v>0</v>
      </c>
      <c r="EF262">
        <v>1</v>
      </c>
      <c r="EG262">
        <v>0</v>
      </c>
      <c r="EH262">
        <v>20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</row>
    <row r="263" spans="1:172" ht="14.25">
      <c r="A263">
        <v>258</v>
      </c>
      <c r="B263" t="str">
        <f t="shared" si="53"/>
        <v>101707</v>
      </c>
      <c r="C263" t="str">
        <f t="shared" si="54"/>
        <v>Pątnów</v>
      </c>
      <c r="D263" t="str">
        <f t="shared" si="52"/>
        <v>wieluński</v>
      </c>
      <c r="E263" t="str">
        <f t="shared" si="55"/>
        <v>łódzkie</v>
      </c>
      <c r="F263">
        <v>2</v>
      </c>
      <c r="G263" t="str">
        <f>"Zespół Szkół Samorządowych w Dzietrznikach, Dzietrzniki 105, 98-335 Pątnów"</f>
        <v>Zespół Szkół Samorządowych w Dzietrznikach, Dzietrzniki 105, 98-335 Pątnów</v>
      </c>
      <c r="H263">
        <v>847</v>
      </c>
      <c r="I263">
        <v>847</v>
      </c>
      <c r="J263">
        <v>0</v>
      </c>
      <c r="K263">
        <v>590</v>
      </c>
      <c r="L263">
        <v>438</v>
      </c>
      <c r="M263">
        <v>152</v>
      </c>
      <c r="N263">
        <v>152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152</v>
      </c>
      <c r="Z263">
        <v>0</v>
      </c>
      <c r="AA263">
        <v>0</v>
      </c>
      <c r="AB263">
        <v>152</v>
      </c>
      <c r="AC263">
        <v>9</v>
      </c>
      <c r="AD263">
        <v>143</v>
      </c>
      <c r="AE263">
        <v>2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2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7</v>
      </c>
      <c r="BD263">
        <v>2</v>
      </c>
      <c r="BE263">
        <v>1</v>
      </c>
      <c r="BF263">
        <v>2</v>
      </c>
      <c r="BG263">
        <v>0</v>
      </c>
      <c r="BH263">
        <v>1</v>
      </c>
      <c r="BI263">
        <v>0</v>
      </c>
      <c r="BJ263">
        <v>0</v>
      </c>
      <c r="BK263">
        <v>0</v>
      </c>
      <c r="BL263">
        <v>1</v>
      </c>
      <c r="BM263">
        <v>0</v>
      </c>
      <c r="BN263">
        <v>7</v>
      </c>
      <c r="BO263">
        <v>91</v>
      </c>
      <c r="BP263">
        <v>80</v>
      </c>
      <c r="BQ263">
        <v>1</v>
      </c>
      <c r="BR263">
        <v>0</v>
      </c>
      <c r="BS263">
        <v>10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91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1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1</v>
      </c>
      <c r="CT263">
        <v>0</v>
      </c>
      <c r="CU263">
        <v>0</v>
      </c>
      <c r="CV263">
        <v>0</v>
      </c>
      <c r="CW263">
        <v>0</v>
      </c>
      <c r="CX263">
        <v>1</v>
      </c>
      <c r="CY263">
        <v>6</v>
      </c>
      <c r="CZ263">
        <v>2</v>
      </c>
      <c r="DA263">
        <v>0</v>
      </c>
      <c r="DB263">
        <v>0</v>
      </c>
      <c r="DC263">
        <v>1</v>
      </c>
      <c r="DD263">
        <v>1</v>
      </c>
      <c r="DE263">
        <v>2</v>
      </c>
      <c r="DF263">
        <v>0</v>
      </c>
      <c r="DG263">
        <v>0</v>
      </c>
      <c r="DH263">
        <v>0</v>
      </c>
      <c r="DI263">
        <v>0</v>
      </c>
      <c r="DJ263">
        <v>6</v>
      </c>
      <c r="DK263">
        <v>9</v>
      </c>
      <c r="DL263">
        <v>7</v>
      </c>
      <c r="DM263">
        <v>0</v>
      </c>
      <c r="DN263">
        <v>0</v>
      </c>
      <c r="DO263">
        <v>1</v>
      </c>
      <c r="DP263">
        <v>0</v>
      </c>
      <c r="DQ263">
        <v>0</v>
      </c>
      <c r="DR263">
        <v>1</v>
      </c>
      <c r="DS263">
        <v>0</v>
      </c>
      <c r="DT263">
        <v>0</v>
      </c>
      <c r="DU263">
        <v>0</v>
      </c>
      <c r="DV263">
        <v>9</v>
      </c>
      <c r="DW263">
        <v>25</v>
      </c>
      <c r="DX263">
        <v>15</v>
      </c>
      <c r="DY263">
        <v>1</v>
      </c>
      <c r="DZ263">
        <v>0</v>
      </c>
      <c r="EA263">
        <v>0</v>
      </c>
      <c r="EB263">
        <v>0</v>
      </c>
      <c r="EC263">
        <v>0</v>
      </c>
      <c r="ED263">
        <v>9</v>
      </c>
      <c r="EE263">
        <v>0</v>
      </c>
      <c r="EF263">
        <v>0</v>
      </c>
      <c r="EG263">
        <v>0</v>
      </c>
      <c r="EH263">
        <v>25</v>
      </c>
      <c r="EI263">
        <v>2</v>
      </c>
      <c r="EJ263">
        <v>0</v>
      </c>
      <c r="EK263">
        <v>2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2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</row>
    <row r="264" spans="1:172" ht="14.25">
      <c r="A264">
        <v>259</v>
      </c>
      <c r="B264" t="str">
        <f t="shared" si="53"/>
        <v>101707</v>
      </c>
      <c r="C264" t="str">
        <f t="shared" si="54"/>
        <v>Pątnów</v>
      </c>
      <c r="D264" t="str">
        <f t="shared" si="52"/>
        <v>wieluński</v>
      </c>
      <c r="E264" t="str">
        <f t="shared" si="55"/>
        <v>łódzkie</v>
      </c>
      <c r="F264">
        <v>3</v>
      </c>
      <c r="G264" t="str">
        <f>"Zespół Szkół Samorządowych w Grębieniu, Grębień 107, 98-335 Pątnów"</f>
        <v>Zespół Szkół Samorządowych w Grębieniu, Grębień 107, 98-335 Pątnów</v>
      </c>
      <c r="H264">
        <v>572</v>
      </c>
      <c r="I264">
        <v>572</v>
      </c>
      <c r="J264">
        <v>0</v>
      </c>
      <c r="K264">
        <v>400</v>
      </c>
      <c r="L264">
        <v>286</v>
      </c>
      <c r="M264">
        <v>114</v>
      </c>
      <c r="N264">
        <v>114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114</v>
      </c>
      <c r="Z264">
        <v>0</v>
      </c>
      <c r="AA264">
        <v>0</v>
      </c>
      <c r="AB264">
        <v>114</v>
      </c>
      <c r="AC264">
        <v>10</v>
      </c>
      <c r="AD264">
        <v>104</v>
      </c>
      <c r="AE264">
        <v>2</v>
      </c>
      <c r="AF264">
        <v>2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2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4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4</v>
      </c>
      <c r="BN264">
        <v>4</v>
      </c>
      <c r="BO264">
        <v>68</v>
      </c>
      <c r="BP264">
        <v>56</v>
      </c>
      <c r="BQ264">
        <v>4</v>
      </c>
      <c r="BR264">
        <v>1</v>
      </c>
      <c r="BS264">
        <v>2</v>
      </c>
      <c r="BT264">
        <v>0</v>
      </c>
      <c r="BU264">
        <v>0</v>
      </c>
      <c r="BV264">
        <v>0</v>
      </c>
      <c r="BW264">
        <v>1</v>
      </c>
      <c r="BX264">
        <v>3</v>
      </c>
      <c r="BY264">
        <v>1</v>
      </c>
      <c r="BZ264">
        <v>68</v>
      </c>
      <c r="CA264">
        <v>2</v>
      </c>
      <c r="CB264">
        <v>0</v>
      </c>
      <c r="CC264">
        <v>2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2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6</v>
      </c>
      <c r="CZ264">
        <v>1</v>
      </c>
      <c r="DA264">
        <v>2</v>
      </c>
      <c r="DB264">
        <v>1</v>
      </c>
      <c r="DC264">
        <v>0</v>
      </c>
      <c r="DD264">
        <v>0</v>
      </c>
      <c r="DE264">
        <v>2</v>
      </c>
      <c r="DF264">
        <v>0</v>
      </c>
      <c r="DG264">
        <v>0</v>
      </c>
      <c r="DH264">
        <v>0</v>
      </c>
      <c r="DI264">
        <v>0</v>
      </c>
      <c r="DJ264">
        <v>6</v>
      </c>
      <c r="DK264">
        <v>4</v>
      </c>
      <c r="DL264">
        <v>2</v>
      </c>
      <c r="DM264">
        <v>1</v>
      </c>
      <c r="DN264">
        <v>0</v>
      </c>
      <c r="DO264">
        <v>0</v>
      </c>
      <c r="DP264">
        <v>0</v>
      </c>
      <c r="DQ264">
        <v>1</v>
      </c>
      <c r="DR264">
        <v>0</v>
      </c>
      <c r="DS264">
        <v>0</v>
      </c>
      <c r="DT264">
        <v>0</v>
      </c>
      <c r="DU264">
        <v>0</v>
      </c>
      <c r="DV264">
        <v>4</v>
      </c>
      <c r="DW264">
        <v>16</v>
      </c>
      <c r="DX264">
        <v>16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16</v>
      </c>
      <c r="EI264">
        <v>1</v>
      </c>
      <c r="EJ264">
        <v>0</v>
      </c>
      <c r="EK264">
        <v>1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1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0</v>
      </c>
      <c r="FG264">
        <v>1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1</v>
      </c>
    </row>
    <row r="265" spans="1:172" ht="14.25">
      <c r="A265">
        <v>260</v>
      </c>
      <c r="B265" t="str">
        <f t="shared" si="53"/>
        <v>101707</v>
      </c>
      <c r="C265" t="str">
        <f t="shared" si="54"/>
        <v>Pątnów</v>
      </c>
      <c r="D265" t="str">
        <f t="shared" si="52"/>
        <v>wieluński</v>
      </c>
      <c r="E265" t="str">
        <f t="shared" si="55"/>
        <v>łódzkie</v>
      </c>
      <c r="F265">
        <v>4</v>
      </c>
      <c r="G265" t="str">
        <f>"Świetlica Wiejska w Kałużach, Kałuże 20A, 98-335 Pątnów"</f>
        <v>Świetlica Wiejska w Kałużach, Kałuże 20A, 98-335 Pątnów</v>
      </c>
      <c r="H265">
        <v>335</v>
      </c>
      <c r="I265">
        <v>335</v>
      </c>
      <c r="J265">
        <v>0</v>
      </c>
      <c r="K265">
        <v>240</v>
      </c>
      <c r="L265">
        <v>200</v>
      </c>
      <c r="M265">
        <v>40</v>
      </c>
      <c r="N265">
        <v>40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40</v>
      </c>
      <c r="Z265">
        <v>0</v>
      </c>
      <c r="AA265">
        <v>0</v>
      </c>
      <c r="AB265">
        <v>40</v>
      </c>
      <c r="AC265">
        <v>4</v>
      </c>
      <c r="AD265">
        <v>36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2</v>
      </c>
      <c r="BD265">
        <v>2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2</v>
      </c>
      <c r="BO265">
        <v>12</v>
      </c>
      <c r="BP265">
        <v>11</v>
      </c>
      <c r="BQ265">
        <v>0</v>
      </c>
      <c r="BR265">
        <v>0</v>
      </c>
      <c r="BS265">
        <v>1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12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1</v>
      </c>
      <c r="CZ265">
        <v>0</v>
      </c>
      <c r="DA265">
        <v>0</v>
      </c>
      <c r="DB265">
        <v>0</v>
      </c>
      <c r="DC265">
        <v>1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1</v>
      </c>
      <c r="DK265">
        <v>3</v>
      </c>
      <c r="DL265">
        <v>1</v>
      </c>
      <c r="DM265">
        <v>2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3</v>
      </c>
      <c r="DW265">
        <v>14</v>
      </c>
      <c r="DX265">
        <v>6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7</v>
      </c>
      <c r="EE265">
        <v>0</v>
      </c>
      <c r="EF265">
        <v>0</v>
      </c>
      <c r="EG265">
        <v>1</v>
      </c>
      <c r="EH265">
        <v>14</v>
      </c>
      <c r="EI265">
        <v>1</v>
      </c>
      <c r="EJ265">
        <v>0</v>
      </c>
      <c r="EK265">
        <v>0</v>
      </c>
      <c r="EL265">
        <v>0</v>
      </c>
      <c r="EM265">
        <v>1</v>
      </c>
      <c r="EN265">
        <v>0</v>
      </c>
      <c r="EO265">
        <v>0</v>
      </c>
      <c r="EP265">
        <v>0</v>
      </c>
      <c r="EQ265">
        <v>0</v>
      </c>
      <c r="ER265">
        <v>1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3</v>
      </c>
      <c r="FF265">
        <v>1</v>
      </c>
      <c r="FG265">
        <v>0</v>
      </c>
      <c r="FH265">
        <v>0</v>
      </c>
      <c r="FI265">
        <v>0</v>
      </c>
      <c r="FJ265">
        <v>0</v>
      </c>
      <c r="FK265">
        <v>2</v>
      </c>
      <c r="FL265">
        <v>0</v>
      </c>
      <c r="FM265">
        <v>0</v>
      </c>
      <c r="FN265">
        <v>0</v>
      </c>
      <c r="FO265">
        <v>0</v>
      </c>
      <c r="FP265">
        <v>3</v>
      </c>
    </row>
    <row r="266" spans="1:172" ht="14.25">
      <c r="A266">
        <v>261</v>
      </c>
      <c r="B266" t="str">
        <f t="shared" si="53"/>
        <v>101707</v>
      </c>
      <c r="C266" t="str">
        <f t="shared" si="54"/>
        <v>Pątnów</v>
      </c>
      <c r="D266" t="str">
        <f t="shared" si="52"/>
        <v>wieluński</v>
      </c>
      <c r="E266" t="str">
        <f t="shared" si="55"/>
        <v>łódzkie</v>
      </c>
      <c r="F266">
        <v>5</v>
      </c>
      <c r="G266" t="str">
        <f>"Remiza OSP w Kamionce, Kamionka 38A, 98-335 Pątnów"</f>
        <v>Remiza OSP w Kamionce, Kamionka 38A, 98-335 Pątnów</v>
      </c>
      <c r="H266">
        <v>477</v>
      </c>
      <c r="I266">
        <v>477</v>
      </c>
      <c r="J266">
        <v>0</v>
      </c>
      <c r="K266">
        <v>330</v>
      </c>
      <c r="L266">
        <v>218</v>
      </c>
      <c r="M266">
        <v>112</v>
      </c>
      <c r="N266">
        <v>112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112</v>
      </c>
      <c r="Z266">
        <v>0</v>
      </c>
      <c r="AA266">
        <v>0</v>
      </c>
      <c r="AB266">
        <v>112</v>
      </c>
      <c r="AC266">
        <v>3</v>
      </c>
      <c r="AD266">
        <v>109</v>
      </c>
      <c r="AE266">
        <v>3</v>
      </c>
      <c r="AF266">
        <v>2</v>
      </c>
      <c r="AG266">
        <v>0</v>
      </c>
      <c r="AH266">
        <v>0</v>
      </c>
      <c r="AI266">
        <v>1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3</v>
      </c>
      <c r="AQ266">
        <v>3</v>
      </c>
      <c r="AR266">
        <v>2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1</v>
      </c>
      <c r="AY266">
        <v>0</v>
      </c>
      <c r="AZ266">
        <v>0</v>
      </c>
      <c r="BA266">
        <v>0</v>
      </c>
      <c r="BB266">
        <v>3</v>
      </c>
      <c r="BC266">
        <v>3</v>
      </c>
      <c r="BD266">
        <v>2</v>
      </c>
      <c r="BE266">
        <v>0</v>
      </c>
      <c r="BF266">
        <v>1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3</v>
      </c>
      <c r="BO266">
        <v>56</v>
      </c>
      <c r="BP266">
        <v>49</v>
      </c>
      <c r="BQ266">
        <v>0</v>
      </c>
      <c r="BR266">
        <v>0</v>
      </c>
      <c r="BS266">
        <v>5</v>
      </c>
      <c r="BT266">
        <v>0</v>
      </c>
      <c r="BU266">
        <v>0</v>
      </c>
      <c r="BV266">
        <v>0</v>
      </c>
      <c r="BW266">
        <v>0</v>
      </c>
      <c r="BX266">
        <v>1</v>
      </c>
      <c r="BY266">
        <v>1</v>
      </c>
      <c r="BZ266">
        <v>56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8</v>
      </c>
      <c r="CZ266">
        <v>3</v>
      </c>
      <c r="DA266">
        <v>3</v>
      </c>
      <c r="DB266">
        <v>0</v>
      </c>
      <c r="DC266">
        <v>0</v>
      </c>
      <c r="DD266">
        <v>0</v>
      </c>
      <c r="DE266">
        <v>1</v>
      </c>
      <c r="DF266">
        <v>1</v>
      </c>
      <c r="DG266">
        <v>0</v>
      </c>
      <c r="DH266">
        <v>0</v>
      </c>
      <c r="DI266">
        <v>0</v>
      </c>
      <c r="DJ266">
        <v>8</v>
      </c>
      <c r="DK266">
        <v>22</v>
      </c>
      <c r="DL266">
        <v>17</v>
      </c>
      <c r="DM266">
        <v>1</v>
      </c>
      <c r="DN266">
        <v>1</v>
      </c>
      <c r="DO266">
        <v>3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22</v>
      </c>
      <c r="DW266">
        <v>14</v>
      </c>
      <c r="DX266">
        <v>9</v>
      </c>
      <c r="DY266">
        <v>0</v>
      </c>
      <c r="DZ266">
        <v>0</v>
      </c>
      <c r="EA266">
        <v>0</v>
      </c>
      <c r="EB266">
        <v>0</v>
      </c>
      <c r="EC266">
        <v>2</v>
      </c>
      <c r="ED266">
        <v>3</v>
      </c>
      <c r="EE266">
        <v>0</v>
      </c>
      <c r="EF266">
        <v>0</v>
      </c>
      <c r="EG266">
        <v>0</v>
      </c>
      <c r="EH266">
        <v>14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</row>
    <row r="267" spans="1:172" ht="14.25">
      <c r="A267">
        <v>262</v>
      </c>
      <c r="B267" t="str">
        <f t="shared" si="53"/>
        <v>101707</v>
      </c>
      <c r="C267" t="str">
        <f t="shared" si="54"/>
        <v>Pątnów</v>
      </c>
      <c r="D267" t="str">
        <f t="shared" si="52"/>
        <v>wieluński</v>
      </c>
      <c r="E267" t="str">
        <f t="shared" si="55"/>
        <v>łódzkie</v>
      </c>
      <c r="F267">
        <v>6</v>
      </c>
      <c r="G267" t="str">
        <f>"Zespół Szkół Samorządowych w Pątnowie, Pątnów 105, 98-335 Pątnów"</f>
        <v>Zespół Szkół Samorządowych w Pątnowie, Pątnów 105, 98-335 Pątnów</v>
      </c>
      <c r="H267">
        <v>1158</v>
      </c>
      <c r="I267">
        <v>1158</v>
      </c>
      <c r="J267">
        <v>0</v>
      </c>
      <c r="K267">
        <v>810</v>
      </c>
      <c r="L267">
        <v>587</v>
      </c>
      <c r="M267">
        <v>223</v>
      </c>
      <c r="N267">
        <v>223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223</v>
      </c>
      <c r="Z267">
        <v>0</v>
      </c>
      <c r="AA267">
        <v>0</v>
      </c>
      <c r="AB267">
        <v>223</v>
      </c>
      <c r="AC267">
        <v>10</v>
      </c>
      <c r="AD267">
        <v>213</v>
      </c>
      <c r="AE267">
        <v>2</v>
      </c>
      <c r="AF267">
        <v>0</v>
      </c>
      <c r="AG267">
        <v>2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2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15</v>
      </c>
      <c r="BD267">
        <v>7</v>
      </c>
      <c r="BE267">
        <v>3</v>
      </c>
      <c r="BF267">
        <v>3</v>
      </c>
      <c r="BG267">
        <v>1</v>
      </c>
      <c r="BH267">
        <v>0</v>
      </c>
      <c r="BI267">
        <v>0</v>
      </c>
      <c r="BJ267">
        <v>0</v>
      </c>
      <c r="BK267">
        <v>1</v>
      </c>
      <c r="BL267">
        <v>0</v>
      </c>
      <c r="BM267">
        <v>0</v>
      </c>
      <c r="BN267">
        <v>15</v>
      </c>
      <c r="BO267">
        <v>135</v>
      </c>
      <c r="BP267">
        <v>116</v>
      </c>
      <c r="BQ267">
        <v>7</v>
      </c>
      <c r="BR267">
        <v>1</v>
      </c>
      <c r="BS267">
        <v>9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2</v>
      </c>
      <c r="BZ267">
        <v>135</v>
      </c>
      <c r="CA267">
        <v>2</v>
      </c>
      <c r="CB267">
        <v>1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1</v>
      </c>
      <c r="CJ267">
        <v>0</v>
      </c>
      <c r="CK267">
        <v>0</v>
      </c>
      <c r="CL267">
        <v>2</v>
      </c>
      <c r="CM267">
        <v>1</v>
      </c>
      <c r="CN267">
        <v>0</v>
      </c>
      <c r="CO267">
        <v>1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1</v>
      </c>
      <c r="CY267">
        <v>11</v>
      </c>
      <c r="CZ267">
        <v>6</v>
      </c>
      <c r="DA267">
        <v>2</v>
      </c>
      <c r="DB267">
        <v>0</v>
      </c>
      <c r="DC267">
        <v>3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11</v>
      </c>
      <c r="DK267">
        <v>21</v>
      </c>
      <c r="DL267">
        <v>16</v>
      </c>
      <c r="DM267">
        <v>1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3</v>
      </c>
      <c r="DT267">
        <v>1</v>
      </c>
      <c r="DU267">
        <v>0</v>
      </c>
      <c r="DV267">
        <v>21</v>
      </c>
      <c r="DW267">
        <v>24</v>
      </c>
      <c r="DX267">
        <v>21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3</v>
      </c>
      <c r="EE267">
        <v>0</v>
      </c>
      <c r="EF267">
        <v>0</v>
      </c>
      <c r="EG267">
        <v>0</v>
      </c>
      <c r="EH267">
        <v>24</v>
      </c>
      <c r="EI267">
        <v>1</v>
      </c>
      <c r="EJ267">
        <v>1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1</v>
      </c>
      <c r="ES267">
        <v>1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1</v>
      </c>
      <c r="EZ267">
        <v>0</v>
      </c>
      <c r="FA267">
        <v>0</v>
      </c>
      <c r="FB267">
        <v>0</v>
      </c>
      <c r="FC267">
        <v>0</v>
      </c>
      <c r="FD267">
        <v>1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</row>
    <row r="268" spans="1:172" ht="14.25">
      <c r="A268">
        <v>263</v>
      </c>
      <c r="B268" t="str">
        <f t="shared" si="53"/>
        <v>101707</v>
      </c>
      <c r="C268" t="str">
        <f t="shared" si="54"/>
        <v>Pątnów</v>
      </c>
      <c r="D268" t="str">
        <f t="shared" si="52"/>
        <v>wieluński</v>
      </c>
      <c r="E268" t="str">
        <f t="shared" si="55"/>
        <v>łódzkie</v>
      </c>
      <c r="F268">
        <v>7</v>
      </c>
      <c r="G268" t="str">
        <f>"Zespół Szkół Samorządowych w Popowicach, Popowice 57B, 98-335 Pątnów"</f>
        <v>Zespół Szkół Samorządowych w Popowicach, Popowice 57B, 98-335 Pątnów</v>
      </c>
      <c r="H268">
        <v>401</v>
      </c>
      <c r="I268">
        <v>401</v>
      </c>
      <c r="J268">
        <v>0</v>
      </c>
      <c r="K268">
        <v>280</v>
      </c>
      <c r="L268">
        <v>180</v>
      </c>
      <c r="M268">
        <v>100</v>
      </c>
      <c r="N268">
        <v>100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100</v>
      </c>
      <c r="Z268">
        <v>0</v>
      </c>
      <c r="AA268">
        <v>0</v>
      </c>
      <c r="AB268">
        <v>100</v>
      </c>
      <c r="AC268">
        <v>3</v>
      </c>
      <c r="AD268">
        <v>97</v>
      </c>
      <c r="AE268">
        <v>4</v>
      </c>
      <c r="AF268">
        <v>1</v>
      </c>
      <c r="AG268">
        <v>1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1</v>
      </c>
      <c r="AN268">
        <v>0</v>
      </c>
      <c r="AO268">
        <v>0</v>
      </c>
      <c r="AP268">
        <v>4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5</v>
      </c>
      <c r="BD268">
        <v>0</v>
      </c>
      <c r="BE268">
        <v>0</v>
      </c>
      <c r="BF268">
        <v>5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5</v>
      </c>
      <c r="BO268">
        <v>59</v>
      </c>
      <c r="BP268">
        <v>58</v>
      </c>
      <c r="BQ268">
        <v>1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59</v>
      </c>
      <c r="CA268">
        <v>1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1</v>
      </c>
      <c r="CI268">
        <v>0</v>
      </c>
      <c r="CJ268">
        <v>0</v>
      </c>
      <c r="CK268">
        <v>0</v>
      </c>
      <c r="CL268">
        <v>1</v>
      </c>
      <c r="CM268">
        <v>3</v>
      </c>
      <c r="CN268">
        <v>2</v>
      </c>
      <c r="CO268">
        <v>0</v>
      </c>
      <c r="CP268">
        <v>0</v>
      </c>
      <c r="CQ268">
        <v>1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3</v>
      </c>
      <c r="CY268">
        <v>11</v>
      </c>
      <c r="CZ268">
        <v>8</v>
      </c>
      <c r="DA268">
        <v>1</v>
      </c>
      <c r="DB268">
        <v>1</v>
      </c>
      <c r="DC268">
        <v>0</v>
      </c>
      <c r="DD268">
        <v>0</v>
      </c>
      <c r="DE268">
        <v>0</v>
      </c>
      <c r="DF268">
        <v>0</v>
      </c>
      <c r="DG268">
        <v>1</v>
      </c>
      <c r="DH268">
        <v>0</v>
      </c>
      <c r="DI268">
        <v>0</v>
      </c>
      <c r="DJ268">
        <v>11</v>
      </c>
      <c r="DK268">
        <v>4</v>
      </c>
      <c r="DL268">
        <v>3</v>
      </c>
      <c r="DM268">
        <v>1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4</v>
      </c>
      <c r="DW268">
        <v>10</v>
      </c>
      <c r="DX268">
        <v>9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1</v>
      </c>
      <c r="EF268">
        <v>0</v>
      </c>
      <c r="EG268">
        <v>0</v>
      </c>
      <c r="EH268">
        <v>10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</row>
    <row r="269" spans="1:172" ht="14.25">
      <c r="A269">
        <v>264</v>
      </c>
      <c r="B269" t="str">
        <f t="shared" si="53"/>
        <v>101707</v>
      </c>
      <c r="C269" t="str">
        <f t="shared" si="54"/>
        <v>Pątnów</v>
      </c>
      <c r="D269" t="str">
        <f t="shared" si="52"/>
        <v>wieluński</v>
      </c>
      <c r="E269" t="str">
        <f t="shared" si="55"/>
        <v>łódzkie</v>
      </c>
      <c r="F269">
        <v>8</v>
      </c>
      <c r="G269" t="str">
        <f>"Zespół Szkół Samorządowych w Załęczu Małym, Załęcze Małe 35, 98-335 Pątnów"</f>
        <v>Zespół Szkół Samorządowych w Załęczu Małym, Załęcze Małe 35, 98-335 Pątnów</v>
      </c>
      <c r="H269">
        <v>654</v>
      </c>
      <c r="I269">
        <v>654</v>
      </c>
      <c r="J269">
        <v>0</v>
      </c>
      <c r="K269">
        <v>460</v>
      </c>
      <c r="L269">
        <v>322</v>
      </c>
      <c r="M269">
        <v>138</v>
      </c>
      <c r="N269">
        <v>138</v>
      </c>
      <c r="O269">
        <v>0</v>
      </c>
      <c r="P269">
        <v>0</v>
      </c>
      <c r="Q269">
        <v>1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138</v>
      </c>
      <c r="Z269">
        <v>0</v>
      </c>
      <c r="AA269">
        <v>0</v>
      </c>
      <c r="AB269">
        <v>138</v>
      </c>
      <c r="AC269">
        <v>8</v>
      </c>
      <c r="AD269">
        <v>130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1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8</v>
      </c>
      <c r="BD269">
        <v>3</v>
      </c>
      <c r="BE269">
        <v>1</v>
      </c>
      <c r="BF269">
        <v>2</v>
      </c>
      <c r="BG269">
        <v>1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1</v>
      </c>
      <c r="BN269">
        <v>8</v>
      </c>
      <c r="BO269">
        <v>76</v>
      </c>
      <c r="BP269">
        <v>72</v>
      </c>
      <c r="BQ269">
        <v>0</v>
      </c>
      <c r="BR269">
        <v>0</v>
      </c>
      <c r="BS269">
        <v>3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1</v>
      </c>
      <c r="BZ269">
        <v>76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2</v>
      </c>
      <c r="CN269">
        <v>2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2</v>
      </c>
      <c r="CY269">
        <v>8</v>
      </c>
      <c r="CZ269">
        <v>5</v>
      </c>
      <c r="DA269">
        <v>1</v>
      </c>
      <c r="DB269">
        <v>0</v>
      </c>
      <c r="DC269">
        <v>1</v>
      </c>
      <c r="DD269">
        <v>1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8</v>
      </c>
      <c r="DK269">
        <v>10</v>
      </c>
      <c r="DL269">
        <v>6</v>
      </c>
      <c r="DM269">
        <v>3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1</v>
      </c>
      <c r="DV269">
        <v>10</v>
      </c>
      <c r="DW269">
        <v>24</v>
      </c>
      <c r="DX269">
        <v>11</v>
      </c>
      <c r="DY269">
        <v>0</v>
      </c>
      <c r="DZ269">
        <v>0</v>
      </c>
      <c r="EA269">
        <v>0</v>
      </c>
      <c r="EB269">
        <v>0</v>
      </c>
      <c r="EC269">
        <v>2</v>
      </c>
      <c r="ED269">
        <v>11</v>
      </c>
      <c r="EE269">
        <v>0</v>
      </c>
      <c r="EF269">
        <v>0</v>
      </c>
      <c r="EG269">
        <v>0</v>
      </c>
      <c r="EH269">
        <v>24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1</v>
      </c>
      <c r="ET269">
        <v>1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</row>
    <row r="270" spans="1:172" ht="14.25">
      <c r="A270">
        <v>265</v>
      </c>
      <c r="B270" t="str">
        <f t="shared" si="53"/>
        <v>101707</v>
      </c>
      <c r="C270" t="str">
        <f t="shared" si="54"/>
        <v>Pątnów</v>
      </c>
      <c r="D270" t="str">
        <f t="shared" si="52"/>
        <v>wieluński</v>
      </c>
      <c r="E270" t="str">
        <f t="shared" si="55"/>
        <v>łódzkie</v>
      </c>
      <c r="F270">
        <v>9</v>
      </c>
      <c r="G270" t="str">
        <f>"Zespół Szkół Samorządowych w Załęczu Wielkim, Załęcze Wielkie 76A, 98-335 Pątnów"</f>
        <v>Zespół Szkół Samorządowych w Załęczu Wielkim, Załęcze Wielkie 76A, 98-335 Pątnów</v>
      </c>
      <c r="H270">
        <v>331</v>
      </c>
      <c r="I270">
        <v>331</v>
      </c>
      <c r="J270">
        <v>0</v>
      </c>
      <c r="K270">
        <v>230</v>
      </c>
      <c r="L270">
        <v>154</v>
      </c>
      <c r="M270">
        <v>76</v>
      </c>
      <c r="N270">
        <v>76</v>
      </c>
      <c r="O270">
        <v>0</v>
      </c>
      <c r="P270">
        <v>0</v>
      </c>
      <c r="Q270">
        <v>4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76</v>
      </c>
      <c r="Z270">
        <v>0</v>
      </c>
      <c r="AA270">
        <v>0</v>
      </c>
      <c r="AB270">
        <v>76</v>
      </c>
      <c r="AC270">
        <v>2</v>
      </c>
      <c r="AD270">
        <v>74</v>
      </c>
      <c r="AE270">
        <v>1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1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51</v>
      </c>
      <c r="BP270">
        <v>48</v>
      </c>
      <c r="BQ270">
        <v>2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1</v>
      </c>
      <c r="BZ270">
        <v>51</v>
      </c>
      <c r="CA270">
        <v>1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1</v>
      </c>
      <c r="CL270">
        <v>1</v>
      </c>
      <c r="CM270">
        <v>1</v>
      </c>
      <c r="CN270">
        <v>1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1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7</v>
      </c>
      <c r="DL270">
        <v>4</v>
      </c>
      <c r="DM270">
        <v>3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7</v>
      </c>
      <c r="DW270">
        <v>13</v>
      </c>
      <c r="DX270">
        <v>11</v>
      </c>
      <c r="DY270">
        <v>1</v>
      </c>
      <c r="DZ270">
        <v>1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13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</row>
    <row r="271" spans="1:172" ht="14.25">
      <c r="A271">
        <v>266</v>
      </c>
      <c r="B271" t="str">
        <f>"101708"</f>
        <v>101708</v>
      </c>
      <c r="C271" t="str">
        <f>"Skomlin"</f>
        <v>Skomlin</v>
      </c>
      <c r="D271" t="str">
        <f t="shared" si="52"/>
        <v>wieluński</v>
      </c>
      <c r="E271" t="str">
        <f t="shared" si="55"/>
        <v>łódzkie</v>
      </c>
      <c r="F271">
        <v>1</v>
      </c>
      <c r="G271" t="str">
        <f>"Publiczne Przedszkole w Skomlinie, Trojanowskiego 2, 98-346 Skomlin"</f>
        <v>Publiczne Przedszkole w Skomlinie, Trojanowskiego 2, 98-346 Skomlin</v>
      </c>
      <c r="H271">
        <v>1333</v>
      </c>
      <c r="I271">
        <v>1333</v>
      </c>
      <c r="J271">
        <v>0</v>
      </c>
      <c r="K271">
        <v>940</v>
      </c>
      <c r="L271">
        <v>605</v>
      </c>
      <c r="M271">
        <v>335</v>
      </c>
      <c r="N271">
        <v>335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335</v>
      </c>
      <c r="Z271">
        <v>0</v>
      </c>
      <c r="AA271">
        <v>0</v>
      </c>
      <c r="AB271">
        <v>335</v>
      </c>
      <c r="AC271">
        <v>13</v>
      </c>
      <c r="AD271">
        <v>322</v>
      </c>
      <c r="AE271">
        <v>10</v>
      </c>
      <c r="AF271">
        <v>6</v>
      </c>
      <c r="AG271">
        <v>1</v>
      </c>
      <c r="AH271">
        <v>0</v>
      </c>
      <c r="AI271">
        <v>1</v>
      </c>
      <c r="AJ271">
        <v>0</v>
      </c>
      <c r="AK271">
        <v>0</v>
      </c>
      <c r="AL271">
        <v>0</v>
      </c>
      <c r="AM271">
        <v>1</v>
      </c>
      <c r="AN271">
        <v>0</v>
      </c>
      <c r="AO271">
        <v>1</v>
      </c>
      <c r="AP271">
        <v>10</v>
      </c>
      <c r="AQ271">
        <v>6</v>
      </c>
      <c r="AR271">
        <v>2</v>
      </c>
      <c r="AS271">
        <v>1</v>
      </c>
      <c r="AT271">
        <v>0</v>
      </c>
      <c r="AU271">
        <v>0</v>
      </c>
      <c r="AV271">
        <v>1</v>
      </c>
      <c r="AW271">
        <v>0</v>
      </c>
      <c r="AX271">
        <v>0</v>
      </c>
      <c r="AY271">
        <v>0</v>
      </c>
      <c r="AZ271">
        <v>0</v>
      </c>
      <c r="BA271">
        <v>2</v>
      </c>
      <c r="BB271">
        <v>6</v>
      </c>
      <c r="BC271">
        <v>30</v>
      </c>
      <c r="BD271">
        <v>15</v>
      </c>
      <c r="BE271">
        <v>2</v>
      </c>
      <c r="BF271">
        <v>9</v>
      </c>
      <c r="BG271">
        <v>0</v>
      </c>
      <c r="BH271">
        <v>1</v>
      </c>
      <c r="BI271">
        <v>0</v>
      </c>
      <c r="BJ271">
        <v>0</v>
      </c>
      <c r="BK271">
        <v>0</v>
      </c>
      <c r="BL271">
        <v>1</v>
      </c>
      <c r="BM271">
        <v>2</v>
      </c>
      <c r="BN271">
        <v>30</v>
      </c>
      <c r="BO271">
        <v>134</v>
      </c>
      <c r="BP271">
        <v>120</v>
      </c>
      <c r="BQ271">
        <v>1</v>
      </c>
      <c r="BR271">
        <v>1</v>
      </c>
      <c r="BS271">
        <v>11</v>
      </c>
      <c r="BT271">
        <v>0</v>
      </c>
      <c r="BU271">
        <v>0</v>
      </c>
      <c r="BV271">
        <v>1</v>
      </c>
      <c r="BW271">
        <v>0</v>
      </c>
      <c r="BX271">
        <v>0</v>
      </c>
      <c r="BY271">
        <v>0</v>
      </c>
      <c r="BZ271">
        <v>134</v>
      </c>
      <c r="CA271">
        <v>4</v>
      </c>
      <c r="CB271">
        <v>3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1</v>
      </c>
      <c r="CJ271">
        <v>0</v>
      </c>
      <c r="CK271">
        <v>0</v>
      </c>
      <c r="CL271">
        <v>4</v>
      </c>
      <c r="CM271">
        <v>7</v>
      </c>
      <c r="CN271">
        <v>3</v>
      </c>
      <c r="CO271">
        <v>1</v>
      </c>
      <c r="CP271">
        <v>0</v>
      </c>
      <c r="CQ271">
        <v>0</v>
      </c>
      <c r="CR271">
        <v>0</v>
      </c>
      <c r="CS271">
        <v>2</v>
      </c>
      <c r="CT271">
        <v>0</v>
      </c>
      <c r="CU271">
        <v>0</v>
      </c>
      <c r="CV271">
        <v>0</v>
      </c>
      <c r="CW271">
        <v>1</v>
      </c>
      <c r="CX271">
        <v>7</v>
      </c>
      <c r="CY271">
        <v>16</v>
      </c>
      <c r="CZ271">
        <v>11</v>
      </c>
      <c r="DA271">
        <v>1</v>
      </c>
      <c r="DB271">
        <v>0</v>
      </c>
      <c r="DC271">
        <v>0</v>
      </c>
      <c r="DD271">
        <v>1</v>
      </c>
      <c r="DE271">
        <v>2</v>
      </c>
      <c r="DF271">
        <v>1</v>
      </c>
      <c r="DG271">
        <v>0</v>
      </c>
      <c r="DH271">
        <v>0</v>
      </c>
      <c r="DI271">
        <v>0</v>
      </c>
      <c r="DJ271">
        <v>16</v>
      </c>
      <c r="DK271">
        <v>60</v>
      </c>
      <c r="DL271">
        <v>30</v>
      </c>
      <c r="DM271">
        <v>6</v>
      </c>
      <c r="DN271">
        <v>0</v>
      </c>
      <c r="DO271">
        <v>18</v>
      </c>
      <c r="DP271">
        <v>3</v>
      </c>
      <c r="DQ271">
        <v>1</v>
      </c>
      <c r="DR271">
        <v>2</v>
      </c>
      <c r="DS271">
        <v>0</v>
      </c>
      <c r="DT271">
        <v>0</v>
      </c>
      <c r="DU271">
        <v>0</v>
      </c>
      <c r="DV271">
        <v>60</v>
      </c>
      <c r="DW271">
        <v>53</v>
      </c>
      <c r="DX271">
        <v>44</v>
      </c>
      <c r="DY271">
        <v>2</v>
      </c>
      <c r="DZ271">
        <v>1</v>
      </c>
      <c r="EA271">
        <v>0</v>
      </c>
      <c r="EB271">
        <v>0</v>
      </c>
      <c r="EC271">
        <v>0</v>
      </c>
      <c r="ED271">
        <v>6</v>
      </c>
      <c r="EE271">
        <v>0</v>
      </c>
      <c r="EF271">
        <v>0</v>
      </c>
      <c r="EG271">
        <v>0</v>
      </c>
      <c r="EH271">
        <v>53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1</v>
      </c>
      <c r="ET271">
        <v>1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1</v>
      </c>
      <c r="FE271">
        <v>1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1</v>
      </c>
      <c r="FM271">
        <v>0</v>
      </c>
      <c r="FN271">
        <v>0</v>
      </c>
      <c r="FO271">
        <v>0</v>
      </c>
      <c r="FP271">
        <v>1</v>
      </c>
    </row>
    <row r="272" spans="1:172" ht="14.25">
      <c r="A272">
        <v>267</v>
      </c>
      <c r="B272" t="str">
        <f>"101708"</f>
        <v>101708</v>
      </c>
      <c r="C272" t="str">
        <f>"Skomlin"</f>
        <v>Skomlin</v>
      </c>
      <c r="D272" t="str">
        <f t="shared" si="52"/>
        <v>wieluński</v>
      </c>
      <c r="E272" t="str">
        <f t="shared" si="55"/>
        <v>łódzkie</v>
      </c>
      <c r="F272">
        <v>2</v>
      </c>
      <c r="G272" t="str">
        <f>"Przedszkole w Wicherniku, Wichernik 13, 98-346 Skomlin"</f>
        <v>Przedszkole w Wicherniku, Wichernik 13, 98-346 Skomlin</v>
      </c>
      <c r="H272">
        <v>505</v>
      </c>
      <c r="I272">
        <v>505</v>
      </c>
      <c r="J272">
        <v>0</v>
      </c>
      <c r="K272">
        <v>360</v>
      </c>
      <c r="L272">
        <v>251</v>
      </c>
      <c r="M272">
        <v>109</v>
      </c>
      <c r="N272">
        <v>109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109</v>
      </c>
      <c r="Z272">
        <v>0</v>
      </c>
      <c r="AA272">
        <v>0</v>
      </c>
      <c r="AB272">
        <v>109</v>
      </c>
      <c r="AC272">
        <v>4</v>
      </c>
      <c r="AD272">
        <v>105</v>
      </c>
      <c r="AE272">
        <v>1</v>
      </c>
      <c r="AF272">
        <v>1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3</v>
      </c>
      <c r="BD272">
        <v>1</v>
      </c>
      <c r="BE272">
        <v>0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0</v>
      </c>
      <c r="BL272">
        <v>1</v>
      </c>
      <c r="BM272">
        <v>0</v>
      </c>
      <c r="BN272">
        <v>3</v>
      </c>
      <c r="BO272">
        <v>56</v>
      </c>
      <c r="BP272">
        <v>52</v>
      </c>
      <c r="BQ272">
        <v>2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1</v>
      </c>
      <c r="BY272">
        <v>0</v>
      </c>
      <c r="BZ272">
        <v>56</v>
      </c>
      <c r="CA272">
        <v>1</v>
      </c>
      <c r="CB272">
        <v>0</v>
      </c>
      <c r="CC272">
        <v>0</v>
      </c>
      <c r="CD272">
        <v>0</v>
      </c>
      <c r="CE272">
        <v>1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1</v>
      </c>
      <c r="CM272">
        <v>7</v>
      </c>
      <c r="CN272">
        <v>0</v>
      </c>
      <c r="CO272">
        <v>2</v>
      </c>
      <c r="CP272">
        <v>0</v>
      </c>
      <c r="CQ272">
        <v>0</v>
      </c>
      <c r="CR272">
        <v>0</v>
      </c>
      <c r="CS272">
        <v>4</v>
      </c>
      <c r="CT272">
        <v>0</v>
      </c>
      <c r="CU272">
        <v>0</v>
      </c>
      <c r="CV272">
        <v>0</v>
      </c>
      <c r="CW272">
        <v>1</v>
      </c>
      <c r="CX272">
        <v>7</v>
      </c>
      <c r="CY272">
        <v>5</v>
      </c>
      <c r="CZ272">
        <v>1</v>
      </c>
      <c r="DA272">
        <v>2</v>
      </c>
      <c r="DB272">
        <v>0</v>
      </c>
      <c r="DC272">
        <v>0</v>
      </c>
      <c r="DD272">
        <v>0</v>
      </c>
      <c r="DE272">
        <v>0</v>
      </c>
      <c r="DF272">
        <v>1</v>
      </c>
      <c r="DG272">
        <v>0</v>
      </c>
      <c r="DH272">
        <v>1</v>
      </c>
      <c r="DI272">
        <v>0</v>
      </c>
      <c r="DJ272">
        <v>5</v>
      </c>
      <c r="DK272">
        <v>4</v>
      </c>
      <c r="DL272">
        <v>1</v>
      </c>
      <c r="DM272">
        <v>1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1</v>
      </c>
      <c r="DT272">
        <v>1</v>
      </c>
      <c r="DU272">
        <v>0</v>
      </c>
      <c r="DV272">
        <v>4</v>
      </c>
      <c r="DW272">
        <v>27</v>
      </c>
      <c r="DX272">
        <v>18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9</v>
      </c>
      <c r="EE272">
        <v>0</v>
      </c>
      <c r="EF272">
        <v>0</v>
      </c>
      <c r="EG272">
        <v>0</v>
      </c>
      <c r="EH272">
        <v>27</v>
      </c>
      <c r="EI272">
        <v>1</v>
      </c>
      <c r="EJ272">
        <v>0</v>
      </c>
      <c r="EK272">
        <v>1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1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</row>
    <row r="273" spans="1:172" ht="14.25">
      <c r="A273">
        <v>268</v>
      </c>
      <c r="B273" t="str">
        <f>"101708"</f>
        <v>101708</v>
      </c>
      <c r="C273" t="str">
        <f>"Skomlin"</f>
        <v>Skomlin</v>
      </c>
      <c r="D273" t="str">
        <f t="shared" si="52"/>
        <v>wieluński</v>
      </c>
      <c r="E273" t="str">
        <f t="shared" si="55"/>
        <v>łódzkie</v>
      </c>
      <c r="F273">
        <v>3</v>
      </c>
      <c r="G273" t="str">
        <f>"Remiza OSP we Wróblewie, Wróblew 44, 98-346 Skomlin"</f>
        <v>Remiza OSP we Wróblewie, Wróblew 44, 98-346 Skomlin</v>
      </c>
      <c r="H273">
        <v>602</v>
      </c>
      <c r="I273">
        <v>602</v>
      </c>
      <c r="J273">
        <v>0</v>
      </c>
      <c r="K273">
        <v>431</v>
      </c>
      <c r="L273">
        <v>320</v>
      </c>
      <c r="M273">
        <v>111</v>
      </c>
      <c r="N273">
        <v>111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111</v>
      </c>
      <c r="Z273">
        <v>0</v>
      </c>
      <c r="AA273">
        <v>0</v>
      </c>
      <c r="AB273">
        <v>111</v>
      </c>
      <c r="AC273">
        <v>4</v>
      </c>
      <c r="AD273">
        <v>107</v>
      </c>
      <c r="AE273">
        <v>1</v>
      </c>
      <c r="AF273">
        <v>0</v>
      </c>
      <c r="AG273">
        <v>1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1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8</v>
      </c>
      <c r="BD273">
        <v>3</v>
      </c>
      <c r="BE273">
        <v>0</v>
      </c>
      <c r="BF273">
        <v>1</v>
      </c>
      <c r="BG273">
        <v>0</v>
      </c>
      <c r="BH273">
        <v>0</v>
      </c>
      <c r="BI273">
        <v>0</v>
      </c>
      <c r="BJ273">
        <v>0</v>
      </c>
      <c r="BK273">
        <v>4</v>
      </c>
      <c r="BL273">
        <v>0</v>
      </c>
      <c r="BM273">
        <v>0</v>
      </c>
      <c r="BN273">
        <v>8</v>
      </c>
      <c r="BO273">
        <v>48</v>
      </c>
      <c r="BP273">
        <v>44</v>
      </c>
      <c r="BQ273">
        <v>1</v>
      </c>
      <c r="BR273">
        <v>0</v>
      </c>
      <c r="BS273">
        <v>0</v>
      </c>
      <c r="BT273">
        <v>1</v>
      </c>
      <c r="BU273">
        <v>0</v>
      </c>
      <c r="BV273">
        <v>1</v>
      </c>
      <c r="BW273">
        <v>0</v>
      </c>
      <c r="BX273">
        <v>0</v>
      </c>
      <c r="BY273">
        <v>1</v>
      </c>
      <c r="BZ273">
        <v>48</v>
      </c>
      <c r="CA273">
        <v>2</v>
      </c>
      <c r="CB273">
        <v>0</v>
      </c>
      <c r="CC273">
        <v>1</v>
      </c>
      <c r="CD273">
        <v>1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2</v>
      </c>
      <c r="CM273">
        <v>2</v>
      </c>
      <c r="CN273">
        <v>2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2</v>
      </c>
      <c r="CY273">
        <v>14</v>
      </c>
      <c r="CZ273">
        <v>13</v>
      </c>
      <c r="DA273">
        <v>0</v>
      </c>
      <c r="DB273">
        <v>0</v>
      </c>
      <c r="DC273">
        <v>0</v>
      </c>
      <c r="DD273">
        <v>0</v>
      </c>
      <c r="DE273">
        <v>1</v>
      </c>
      <c r="DF273">
        <v>0</v>
      </c>
      <c r="DG273">
        <v>0</v>
      </c>
      <c r="DH273">
        <v>0</v>
      </c>
      <c r="DI273">
        <v>0</v>
      </c>
      <c r="DJ273">
        <v>14</v>
      </c>
      <c r="DK273">
        <v>7</v>
      </c>
      <c r="DL273">
        <v>4</v>
      </c>
      <c r="DM273">
        <v>0</v>
      </c>
      <c r="DN273">
        <v>0</v>
      </c>
      <c r="DO273">
        <v>1</v>
      </c>
      <c r="DP273">
        <v>0</v>
      </c>
      <c r="DQ273">
        <v>0</v>
      </c>
      <c r="DR273">
        <v>1</v>
      </c>
      <c r="DS273">
        <v>0</v>
      </c>
      <c r="DT273">
        <v>1</v>
      </c>
      <c r="DU273">
        <v>0</v>
      </c>
      <c r="DV273">
        <v>7</v>
      </c>
      <c r="DW273">
        <v>25</v>
      </c>
      <c r="DX273">
        <v>23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2</v>
      </c>
      <c r="EG273">
        <v>0</v>
      </c>
      <c r="EH273">
        <v>25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</row>
    <row r="274" spans="1:172" ht="14.25">
      <c r="A274">
        <v>269</v>
      </c>
      <c r="B274" t="str">
        <f>"101708"</f>
        <v>101708</v>
      </c>
      <c r="C274" t="str">
        <f>"Skomlin"</f>
        <v>Skomlin</v>
      </c>
      <c r="D274" t="str">
        <f t="shared" si="52"/>
        <v>wieluński</v>
      </c>
      <c r="E274" t="str">
        <f t="shared" si="55"/>
        <v>łódzkie</v>
      </c>
      <c r="F274">
        <v>4</v>
      </c>
      <c r="G274" t="str">
        <f>"Remiza OSP w Toplinie, Toplin 15, 98-346 Skomlin"</f>
        <v>Remiza OSP w Toplinie, Toplin 15, 98-346 Skomlin</v>
      </c>
      <c r="H274">
        <v>265</v>
      </c>
      <c r="I274">
        <v>265</v>
      </c>
      <c r="J274">
        <v>0</v>
      </c>
      <c r="K274">
        <v>190</v>
      </c>
      <c r="L274">
        <v>136</v>
      </c>
      <c r="M274">
        <v>54</v>
      </c>
      <c r="N274">
        <v>54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54</v>
      </c>
      <c r="Z274">
        <v>0</v>
      </c>
      <c r="AA274">
        <v>0</v>
      </c>
      <c r="AB274">
        <v>54</v>
      </c>
      <c r="AC274">
        <v>9</v>
      </c>
      <c r="AD274">
        <v>45</v>
      </c>
      <c r="AE274">
        <v>1</v>
      </c>
      <c r="AF274">
        <v>0</v>
      </c>
      <c r="AG274">
        <v>0</v>
      </c>
      <c r="AH274">
        <v>1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1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1</v>
      </c>
      <c r="BD274">
        <v>1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1</v>
      </c>
      <c r="BO274">
        <v>22</v>
      </c>
      <c r="BP274">
        <v>20</v>
      </c>
      <c r="BQ274">
        <v>2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22</v>
      </c>
      <c r="CA274">
        <v>1</v>
      </c>
      <c r="CB274">
        <v>0</v>
      </c>
      <c r="CC274">
        <v>0</v>
      </c>
      <c r="CD274">
        <v>1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1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4</v>
      </c>
      <c r="DL274">
        <v>2</v>
      </c>
      <c r="DM274">
        <v>0</v>
      </c>
      <c r="DN274">
        <v>0</v>
      </c>
      <c r="DO274">
        <v>2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4</v>
      </c>
      <c r="DW274">
        <v>14</v>
      </c>
      <c r="DX274">
        <v>13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1</v>
      </c>
      <c r="EE274">
        <v>0</v>
      </c>
      <c r="EF274">
        <v>0</v>
      </c>
      <c r="EG274">
        <v>0</v>
      </c>
      <c r="EH274">
        <v>14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2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1</v>
      </c>
      <c r="FL274">
        <v>1</v>
      </c>
      <c r="FM274">
        <v>0</v>
      </c>
      <c r="FN274">
        <v>0</v>
      </c>
      <c r="FO274">
        <v>0</v>
      </c>
      <c r="FP274">
        <v>2</v>
      </c>
    </row>
    <row r="275" spans="1:172" ht="14.25">
      <c r="A275">
        <v>270</v>
      </c>
      <c r="B275" t="str">
        <f aca="true" t="shared" si="56" ref="B275:B298">"101709"</f>
        <v>101709</v>
      </c>
      <c r="C275" t="str">
        <f aca="true" t="shared" si="57" ref="C275:C298">"Wieluń"</f>
        <v>Wieluń</v>
      </c>
      <c r="D275" t="str">
        <f t="shared" si="52"/>
        <v>wieluński</v>
      </c>
      <c r="E275" t="str">
        <f t="shared" si="55"/>
        <v>łódzkie</v>
      </c>
      <c r="F275">
        <v>1</v>
      </c>
      <c r="G275" t="str">
        <f>"Zespół Szkół nr 1 w Wieluniu, Wojska Polskiego 32, 98-300 Wieluń"</f>
        <v>Zespół Szkół nr 1 w Wieluniu, Wojska Polskiego 32, 98-300 Wieluń</v>
      </c>
      <c r="H275">
        <v>1550</v>
      </c>
      <c r="I275">
        <v>1550</v>
      </c>
      <c r="J275">
        <v>0</v>
      </c>
      <c r="K275">
        <v>1100</v>
      </c>
      <c r="L275">
        <v>689</v>
      </c>
      <c r="M275">
        <v>411</v>
      </c>
      <c r="N275">
        <v>411</v>
      </c>
      <c r="O275">
        <v>0</v>
      </c>
      <c r="P275">
        <v>1</v>
      </c>
      <c r="Q275">
        <v>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411</v>
      </c>
      <c r="Z275">
        <v>0</v>
      </c>
      <c r="AA275">
        <v>0</v>
      </c>
      <c r="AB275">
        <v>411</v>
      </c>
      <c r="AC275">
        <v>9</v>
      </c>
      <c r="AD275">
        <v>402</v>
      </c>
      <c r="AE275">
        <v>4</v>
      </c>
      <c r="AF275">
        <v>1</v>
      </c>
      <c r="AG275">
        <v>1</v>
      </c>
      <c r="AH275">
        <v>0</v>
      </c>
      <c r="AI275">
        <v>1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0</v>
      </c>
      <c r="AP275">
        <v>4</v>
      </c>
      <c r="AQ275">
        <v>1</v>
      </c>
      <c r="AR275">
        <v>1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1</v>
      </c>
      <c r="BC275">
        <v>44</v>
      </c>
      <c r="BD275">
        <v>16</v>
      </c>
      <c r="BE275">
        <v>9</v>
      </c>
      <c r="BF275">
        <v>9</v>
      </c>
      <c r="BG275">
        <v>3</v>
      </c>
      <c r="BH275">
        <v>3</v>
      </c>
      <c r="BI275">
        <v>1</v>
      </c>
      <c r="BJ275">
        <v>0</v>
      </c>
      <c r="BK275">
        <v>0</v>
      </c>
      <c r="BL275">
        <v>1</v>
      </c>
      <c r="BM275">
        <v>2</v>
      </c>
      <c r="BN275">
        <v>44</v>
      </c>
      <c r="BO275">
        <v>143</v>
      </c>
      <c r="BP275">
        <v>126</v>
      </c>
      <c r="BQ275">
        <v>3</v>
      </c>
      <c r="BR275">
        <v>8</v>
      </c>
      <c r="BS275">
        <v>4</v>
      </c>
      <c r="BT275">
        <v>0</v>
      </c>
      <c r="BU275">
        <v>1</v>
      </c>
      <c r="BV275">
        <v>0</v>
      </c>
      <c r="BW275">
        <v>1</v>
      </c>
      <c r="BX275">
        <v>0</v>
      </c>
      <c r="BY275">
        <v>0</v>
      </c>
      <c r="BZ275">
        <v>143</v>
      </c>
      <c r="CA275">
        <v>9</v>
      </c>
      <c r="CB275">
        <v>6</v>
      </c>
      <c r="CC275">
        <v>0</v>
      </c>
      <c r="CD275">
        <v>0</v>
      </c>
      <c r="CE275">
        <v>0</v>
      </c>
      <c r="CF275">
        <v>0</v>
      </c>
      <c r="CG275">
        <v>2</v>
      </c>
      <c r="CH275">
        <v>0</v>
      </c>
      <c r="CI275">
        <v>0</v>
      </c>
      <c r="CJ275">
        <v>1</v>
      </c>
      <c r="CK275">
        <v>0</v>
      </c>
      <c r="CL275">
        <v>9</v>
      </c>
      <c r="CM275">
        <v>4</v>
      </c>
      <c r="CN275">
        <v>3</v>
      </c>
      <c r="CO275">
        <v>1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4</v>
      </c>
      <c r="CY275">
        <v>34</v>
      </c>
      <c r="CZ275">
        <v>23</v>
      </c>
      <c r="DA275">
        <v>0</v>
      </c>
      <c r="DB275">
        <v>1</v>
      </c>
      <c r="DC275">
        <v>1</v>
      </c>
      <c r="DD275">
        <v>0</v>
      </c>
      <c r="DE275">
        <v>3</v>
      </c>
      <c r="DF275">
        <v>2</v>
      </c>
      <c r="DG275">
        <v>1</v>
      </c>
      <c r="DH275">
        <v>0</v>
      </c>
      <c r="DI275">
        <v>3</v>
      </c>
      <c r="DJ275">
        <v>34</v>
      </c>
      <c r="DK275">
        <v>124</v>
      </c>
      <c r="DL275">
        <v>98</v>
      </c>
      <c r="DM275">
        <v>13</v>
      </c>
      <c r="DN275">
        <v>1</v>
      </c>
      <c r="DO275">
        <v>8</v>
      </c>
      <c r="DP275">
        <v>1</v>
      </c>
      <c r="DQ275">
        <v>0</v>
      </c>
      <c r="DR275">
        <v>1</v>
      </c>
      <c r="DS275">
        <v>0</v>
      </c>
      <c r="DT275">
        <v>0</v>
      </c>
      <c r="DU275">
        <v>2</v>
      </c>
      <c r="DV275">
        <v>124</v>
      </c>
      <c r="DW275">
        <v>33</v>
      </c>
      <c r="DX275">
        <v>29</v>
      </c>
      <c r="DY275">
        <v>0</v>
      </c>
      <c r="DZ275">
        <v>0</v>
      </c>
      <c r="EA275">
        <v>0</v>
      </c>
      <c r="EB275">
        <v>1</v>
      </c>
      <c r="EC275">
        <v>3</v>
      </c>
      <c r="ED275">
        <v>0</v>
      </c>
      <c r="EE275">
        <v>0</v>
      </c>
      <c r="EF275">
        <v>0</v>
      </c>
      <c r="EG275">
        <v>0</v>
      </c>
      <c r="EH275">
        <v>33</v>
      </c>
      <c r="EI275">
        <v>4</v>
      </c>
      <c r="EJ275">
        <v>1</v>
      </c>
      <c r="EK275">
        <v>3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4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2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1</v>
      </c>
      <c r="FO275">
        <v>1</v>
      </c>
      <c r="FP275">
        <v>2</v>
      </c>
    </row>
    <row r="276" spans="1:172" ht="14.25">
      <c r="A276">
        <v>271</v>
      </c>
      <c r="B276" t="str">
        <f t="shared" si="56"/>
        <v>101709</v>
      </c>
      <c r="C276" t="str">
        <f t="shared" si="57"/>
        <v>Wieluń</v>
      </c>
      <c r="D276" t="str">
        <f t="shared" si="52"/>
        <v>wieluński</v>
      </c>
      <c r="E276" t="str">
        <f t="shared" si="55"/>
        <v>łódzkie</v>
      </c>
      <c r="F276">
        <v>2</v>
      </c>
      <c r="G276" t="str">
        <f>"Szkoła Podstawowa nr 5 w Wieluniu, Traugutta 38, 98-300 Wieluń"</f>
        <v>Szkoła Podstawowa nr 5 w Wieluniu, Traugutta 38, 98-300 Wieluń</v>
      </c>
      <c r="H276">
        <v>1559</v>
      </c>
      <c r="I276">
        <v>1559</v>
      </c>
      <c r="J276">
        <v>0</v>
      </c>
      <c r="K276">
        <v>1110</v>
      </c>
      <c r="L276">
        <v>726</v>
      </c>
      <c r="M276">
        <v>384</v>
      </c>
      <c r="N276">
        <v>384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383</v>
      </c>
      <c r="Z276">
        <v>0</v>
      </c>
      <c r="AA276">
        <v>0</v>
      </c>
      <c r="AB276">
        <v>383</v>
      </c>
      <c r="AC276">
        <v>9</v>
      </c>
      <c r="AD276">
        <v>374</v>
      </c>
      <c r="AE276">
        <v>9</v>
      </c>
      <c r="AF276">
        <v>5</v>
      </c>
      <c r="AG276">
        <v>3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9</v>
      </c>
      <c r="AQ276">
        <v>6</v>
      </c>
      <c r="AR276">
        <v>5</v>
      </c>
      <c r="AS276">
        <v>1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6</v>
      </c>
      <c r="BC276">
        <v>20</v>
      </c>
      <c r="BD276">
        <v>11</v>
      </c>
      <c r="BE276">
        <v>2</v>
      </c>
      <c r="BF276">
        <v>3</v>
      </c>
      <c r="BG276">
        <v>2</v>
      </c>
      <c r="BH276">
        <v>1</v>
      </c>
      <c r="BI276">
        <v>0</v>
      </c>
      <c r="BJ276">
        <v>0</v>
      </c>
      <c r="BK276">
        <v>0</v>
      </c>
      <c r="BL276">
        <v>0</v>
      </c>
      <c r="BM276">
        <v>1</v>
      </c>
      <c r="BN276">
        <v>20</v>
      </c>
      <c r="BO276">
        <v>160</v>
      </c>
      <c r="BP276">
        <v>139</v>
      </c>
      <c r="BQ276">
        <v>5</v>
      </c>
      <c r="BR276">
        <v>3</v>
      </c>
      <c r="BS276">
        <v>8</v>
      </c>
      <c r="BT276">
        <v>2</v>
      </c>
      <c r="BU276">
        <v>0</v>
      </c>
      <c r="BV276">
        <v>3</v>
      </c>
      <c r="BW276">
        <v>0</v>
      </c>
      <c r="BX276">
        <v>0</v>
      </c>
      <c r="BY276">
        <v>0</v>
      </c>
      <c r="BZ276">
        <v>160</v>
      </c>
      <c r="CA276">
        <v>6</v>
      </c>
      <c r="CB276">
        <v>2</v>
      </c>
      <c r="CC276">
        <v>1</v>
      </c>
      <c r="CD276">
        <v>1</v>
      </c>
      <c r="CE276">
        <v>1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0</v>
      </c>
      <c r="CL276">
        <v>6</v>
      </c>
      <c r="CM276">
        <v>7</v>
      </c>
      <c r="CN276">
        <v>3</v>
      </c>
      <c r="CO276">
        <v>0</v>
      </c>
      <c r="CP276">
        <v>0</v>
      </c>
      <c r="CQ276">
        <v>0</v>
      </c>
      <c r="CR276">
        <v>0</v>
      </c>
      <c r="CS276">
        <v>3</v>
      </c>
      <c r="CT276">
        <v>0</v>
      </c>
      <c r="CU276">
        <v>0</v>
      </c>
      <c r="CV276">
        <v>0</v>
      </c>
      <c r="CW276">
        <v>1</v>
      </c>
      <c r="CX276">
        <v>7</v>
      </c>
      <c r="CY276">
        <v>12</v>
      </c>
      <c r="CZ276">
        <v>7</v>
      </c>
      <c r="DA276">
        <v>2</v>
      </c>
      <c r="DB276">
        <v>1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2</v>
      </c>
      <c r="DJ276">
        <v>12</v>
      </c>
      <c r="DK276">
        <v>114</v>
      </c>
      <c r="DL276">
        <v>72</v>
      </c>
      <c r="DM276">
        <v>22</v>
      </c>
      <c r="DN276">
        <v>0</v>
      </c>
      <c r="DO276">
        <v>13</v>
      </c>
      <c r="DP276">
        <v>2</v>
      </c>
      <c r="DQ276">
        <v>4</v>
      </c>
      <c r="DR276">
        <v>0</v>
      </c>
      <c r="DS276">
        <v>1</v>
      </c>
      <c r="DT276">
        <v>0</v>
      </c>
      <c r="DU276">
        <v>0</v>
      </c>
      <c r="DV276">
        <v>114</v>
      </c>
      <c r="DW276">
        <v>34</v>
      </c>
      <c r="DX276">
        <v>30</v>
      </c>
      <c r="DY276">
        <v>1</v>
      </c>
      <c r="DZ276">
        <v>0</v>
      </c>
      <c r="EA276">
        <v>0</v>
      </c>
      <c r="EB276">
        <v>0</v>
      </c>
      <c r="EC276">
        <v>0</v>
      </c>
      <c r="ED276">
        <v>3</v>
      </c>
      <c r="EE276">
        <v>0</v>
      </c>
      <c r="EF276">
        <v>0</v>
      </c>
      <c r="EG276">
        <v>0</v>
      </c>
      <c r="EH276">
        <v>34</v>
      </c>
      <c r="EI276">
        <v>3</v>
      </c>
      <c r="EJ276">
        <v>3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3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3</v>
      </c>
      <c r="FF276">
        <v>1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1</v>
      </c>
      <c r="FO276">
        <v>1</v>
      </c>
      <c r="FP276">
        <v>3</v>
      </c>
    </row>
    <row r="277" spans="1:172" ht="14.25">
      <c r="A277">
        <v>272</v>
      </c>
      <c r="B277" t="str">
        <f t="shared" si="56"/>
        <v>101709</v>
      </c>
      <c r="C277" t="str">
        <f t="shared" si="57"/>
        <v>Wieluń</v>
      </c>
      <c r="D277" t="str">
        <f t="shared" si="52"/>
        <v>wieluński</v>
      </c>
      <c r="E277" t="str">
        <f t="shared" si="55"/>
        <v>łódzkie</v>
      </c>
      <c r="F277">
        <v>3</v>
      </c>
      <c r="G277" t="str">
        <f>"Zespół Szkół nr 2 w Wieluniu, Traugutta 12, 98-300 Wieluń"</f>
        <v>Zespół Szkół nr 2 w Wieluniu, Traugutta 12, 98-300 Wieluń</v>
      </c>
      <c r="H277">
        <v>1212</v>
      </c>
      <c r="I277">
        <v>1212</v>
      </c>
      <c r="J277">
        <v>0</v>
      </c>
      <c r="K277">
        <v>860</v>
      </c>
      <c r="L277">
        <v>529</v>
      </c>
      <c r="M277">
        <v>331</v>
      </c>
      <c r="N277">
        <v>331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331</v>
      </c>
      <c r="Z277">
        <v>0</v>
      </c>
      <c r="AA277">
        <v>0</v>
      </c>
      <c r="AB277">
        <v>331</v>
      </c>
      <c r="AC277">
        <v>12</v>
      </c>
      <c r="AD277">
        <v>319</v>
      </c>
      <c r="AE277">
        <v>3</v>
      </c>
      <c r="AF277">
        <v>2</v>
      </c>
      <c r="AG277">
        <v>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3</v>
      </c>
      <c r="AQ277">
        <v>4</v>
      </c>
      <c r="AR277">
        <v>2</v>
      </c>
      <c r="AS277">
        <v>0</v>
      </c>
      <c r="AT277">
        <v>0</v>
      </c>
      <c r="AU277">
        <v>0</v>
      </c>
      <c r="AV277">
        <v>1</v>
      </c>
      <c r="AW277">
        <v>0</v>
      </c>
      <c r="AX277">
        <v>0</v>
      </c>
      <c r="AY277">
        <v>1</v>
      </c>
      <c r="AZ277">
        <v>0</v>
      </c>
      <c r="BA277">
        <v>0</v>
      </c>
      <c r="BB277">
        <v>4</v>
      </c>
      <c r="BC277">
        <v>30</v>
      </c>
      <c r="BD277">
        <v>13</v>
      </c>
      <c r="BE277">
        <v>5</v>
      </c>
      <c r="BF277">
        <v>5</v>
      </c>
      <c r="BG277">
        <v>2</v>
      </c>
      <c r="BH277">
        <v>0</v>
      </c>
      <c r="BI277">
        <v>1</v>
      </c>
      <c r="BJ277">
        <v>2</v>
      </c>
      <c r="BK277">
        <v>0</v>
      </c>
      <c r="BL277">
        <v>0</v>
      </c>
      <c r="BM277">
        <v>2</v>
      </c>
      <c r="BN277">
        <v>30</v>
      </c>
      <c r="BO277">
        <v>110</v>
      </c>
      <c r="BP277">
        <v>101</v>
      </c>
      <c r="BQ277">
        <v>3</v>
      </c>
      <c r="BR277">
        <v>1</v>
      </c>
      <c r="BS277">
        <v>1</v>
      </c>
      <c r="BT277">
        <v>0</v>
      </c>
      <c r="BU277">
        <v>0</v>
      </c>
      <c r="BV277">
        <v>0</v>
      </c>
      <c r="BW277">
        <v>2</v>
      </c>
      <c r="BX277">
        <v>0</v>
      </c>
      <c r="BY277">
        <v>2</v>
      </c>
      <c r="BZ277">
        <v>110</v>
      </c>
      <c r="CA277">
        <v>6</v>
      </c>
      <c r="CB277">
        <v>3</v>
      </c>
      <c r="CC277">
        <v>0</v>
      </c>
      <c r="CD277">
        <v>1</v>
      </c>
      <c r="CE277">
        <v>0</v>
      </c>
      <c r="CF277">
        <v>1</v>
      </c>
      <c r="CG277">
        <v>0</v>
      </c>
      <c r="CH277">
        <v>0</v>
      </c>
      <c r="CI277">
        <v>0</v>
      </c>
      <c r="CJ277">
        <v>0</v>
      </c>
      <c r="CK277">
        <v>1</v>
      </c>
      <c r="CL277">
        <v>6</v>
      </c>
      <c r="CM277">
        <v>9</v>
      </c>
      <c r="CN277">
        <v>5</v>
      </c>
      <c r="CO277">
        <v>0</v>
      </c>
      <c r="CP277">
        <v>0</v>
      </c>
      <c r="CQ277">
        <v>2</v>
      </c>
      <c r="CR277">
        <v>0</v>
      </c>
      <c r="CS277">
        <v>2</v>
      </c>
      <c r="CT277">
        <v>0</v>
      </c>
      <c r="CU277">
        <v>0</v>
      </c>
      <c r="CV277">
        <v>0</v>
      </c>
      <c r="CW277">
        <v>0</v>
      </c>
      <c r="CX277">
        <v>9</v>
      </c>
      <c r="CY277">
        <v>13</v>
      </c>
      <c r="CZ277">
        <v>8</v>
      </c>
      <c r="DA277">
        <v>1</v>
      </c>
      <c r="DB277">
        <v>0</v>
      </c>
      <c r="DC277">
        <v>2</v>
      </c>
      <c r="DD277">
        <v>0</v>
      </c>
      <c r="DE277">
        <v>1</v>
      </c>
      <c r="DF277">
        <v>0</v>
      </c>
      <c r="DG277">
        <v>0</v>
      </c>
      <c r="DH277">
        <v>1</v>
      </c>
      <c r="DI277">
        <v>0</v>
      </c>
      <c r="DJ277">
        <v>13</v>
      </c>
      <c r="DK277">
        <v>100</v>
      </c>
      <c r="DL277">
        <v>81</v>
      </c>
      <c r="DM277">
        <v>13</v>
      </c>
      <c r="DN277">
        <v>0</v>
      </c>
      <c r="DO277">
        <v>2</v>
      </c>
      <c r="DP277">
        <v>0</v>
      </c>
      <c r="DQ277">
        <v>2</v>
      </c>
      <c r="DR277">
        <v>1</v>
      </c>
      <c r="DS277">
        <v>0</v>
      </c>
      <c r="DT277">
        <v>0</v>
      </c>
      <c r="DU277">
        <v>1</v>
      </c>
      <c r="DV277">
        <v>100</v>
      </c>
      <c r="DW277">
        <v>40</v>
      </c>
      <c r="DX277">
        <v>39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1</v>
      </c>
      <c r="EE277">
        <v>0</v>
      </c>
      <c r="EF277">
        <v>0</v>
      </c>
      <c r="EG277">
        <v>0</v>
      </c>
      <c r="EH277">
        <v>40</v>
      </c>
      <c r="EI277">
        <v>2</v>
      </c>
      <c r="EJ277">
        <v>0</v>
      </c>
      <c r="EK277">
        <v>1</v>
      </c>
      <c r="EL277">
        <v>0</v>
      </c>
      <c r="EM277">
        <v>0</v>
      </c>
      <c r="EN277">
        <v>0</v>
      </c>
      <c r="EO277">
        <v>0</v>
      </c>
      <c r="EP277">
        <v>1</v>
      </c>
      <c r="EQ277">
        <v>0</v>
      </c>
      <c r="ER277">
        <v>2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2</v>
      </c>
      <c r="FF277">
        <v>1</v>
      </c>
      <c r="FG277">
        <v>1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2</v>
      </c>
    </row>
    <row r="278" spans="1:172" ht="14.25">
      <c r="A278">
        <v>273</v>
      </c>
      <c r="B278" t="str">
        <f t="shared" si="56"/>
        <v>101709</v>
      </c>
      <c r="C278" t="str">
        <f t="shared" si="57"/>
        <v>Wieluń</v>
      </c>
      <c r="D278" t="str">
        <f t="shared" si="52"/>
        <v>wieluński</v>
      </c>
      <c r="E278" t="str">
        <f t="shared" si="55"/>
        <v>łódzkie</v>
      </c>
      <c r="F278">
        <v>4</v>
      </c>
      <c r="G278" t="str">
        <f>"Miejska i Gminna Biblioteka Publiczna w Wieluniu, Narutowicza 4, 98-300 Wieluń"</f>
        <v>Miejska i Gminna Biblioteka Publiczna w Wieluniu, Narutowicza 4, 98-300 Wieluń</v>
      </c>
      <c r="H278">
        <v>1350</v>
      </c>
      <c r="I278">
        <v>1350</v>
      </c>
      <c r="J278">
        <v>0</v>
      </c>
      <c r="K278">
        <v>950</v>
      </c>
      <c r="L278">
        <v>584</v>
      </c>
      <c r="M278">
        <v>366</v>
      </c>
      <c r="N278">
        <v>366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366</v>
      </c>
      <c r="Z278">
        <v>0</v>
      </c>
      <c r="AA278">
        <v>0</v>
      </c>
      <c r="AB278">
        <v>366</v>
      </c>
      <c r="AC278">
        <v>10</v>
      </c>
      <c r="AD278">
        <v>356</v>
      </c>
      <c r="AE278">
        <v>6</v>
      </c>
      <c r="AF278">
        <v>1</v>
      </c>
      <c r="AG278">
        <v>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2</v>
      </c>
      <c r="AN278">
        <v>1</v>
      </c>
      <c r="AO278">
        <v>0</v>
      </c>
      <c r="AP278">
        <v>6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32</v>
      </c>
      <c r="BD278">
        <v>18</v>
      </c>
      <c r="BE278">
        <v>0</v>
      </c>
      <c r="BF278">
        <v>5</v>
      </c>
      <c r="BG278">
        <v>2</v>
      </c>
      <c r="BH278">
        <v>0</v>
      </c>
      <c r="BI278">
        <v>0</v>
      </c>
      <c r="BJ278">
        <v>0</v>
      </c>
      <c r="BK278">
        <v>1</v>
      </c>
      <c r="BL278">
        <v>2</v>
      </c>
      <c r="BM278">
        <v>4</v>
      </c>
      <c r="BN278">
        <v>32</v>
      </c>
      <c r="BO278">
        <v>109</v>
      </c>
      <c r="BP278">
        <v>95</v>
      </c>
      <c r="BQ278">
        <v>6</v>
      </c>
      <c r="BR278">
        <v>3</v>
      </c>
      <c r="BS278">
        <v>3</v>
      </c>
      <c r="BT278">
        <v>1</v>
      </c>
      <c r="BU278">
        <v>0</v>
      </c>
      <c r="BV278">
        <v>0</v>
      </c>
      <c r="BW278">
        <v>1</v>
      </c>
      <c r="BX278">
        <v>0</v>
      </c>
      <c r="BY278">
        <v>0</v>
      </c>
      <c r="BZ278">
        <v>109</v>
      </c>
      <c r="CA278">
        <v>13</v>
      </c>
      <c r="CB278">
        <v>8</v>
      </c>
      <c r="CC278">
        <v>2</v>
      </c>
      <c r="CD278">
        <v>0</v>
      </c>
      <c r="CE278">
        <v>0</v>
      </c>
      <c r="CF278">
        <v>0</v>
      </c>
      <c r="CG278">
        <v>0</v>
      </c>
      <c r="CH278">
        <v>3</v>
      </c>
      <c r="CI278">
        <v>0</v>
      </c>
      <c r="CJ278">
        <v>0</v>
      </c>
      <c r="CK278">
        <v>0</v>
      </c>
      <c r="CL278">
        <v>13</v>
      </c>
      <c r="CM278">
        <v>4</v>
      </c>
      <c r="CN278">
        <v>2</v>
      </c>
      <c r="CO278">
        <v>0</v>
      </c>
      <c r="CP278">
        <v>0</v>
      </c>
      <c r="CQ278">
        <v>0</v>
      </c>
      <c r="CR278">
        <v>0</v>
      </c>
      <c r="CS278">
        <v>2</v>
      </c>
      <c r="CT278">
        <v>0</v>
      </c>
      <c r="CU278">
        <v>0</v>
      </c>
      <c r="CV278">
        <v>0</v>
      </c>
      <c r="CW278">
        <v>0</v>
      </c>
      <c r="CX278">
        <v>4</v>
      </c>
      <c r="CY278">
        <v>30</v>
      </c>
      <c r="CZ278">
        <v>18</v>
      </c>
      <c r="DA278">
        <v>3</v>
      </c>
      <c r="DB278">
        <v>1</v>
      </c>
      <c r="DC278">
        <v>1</v>
      </c>
      <c r="DD278">
        <v>2</v>
      </c>
      <c r="DE278">
        <v>1</v>
      </c>
      <c r="DF278">
        <v>0</v>
      </c>
      <c r="DG278">
        <v>1</v>
      </c>
      <c r="DH278">
        <v>3</v>
      </c>
      <c r="DI278">
        <v>0</v>
      </c>
      <c r="DJ278">
        <v>30</v>
      </c>
      <c r="DK278">
        <v>111</v>
      </c>
      <c r="DL278">
        <v>86</v>
      </c>
      <c r="DM278">
        <v>10</v>
      </c>
      <c r="DN278">
        <v>2</v>
      </c>
      <c r="DO278">
        <v>10</v>
      </c>
      <c r="DP278">
        <v>1</v>
      </c>
      <c r="DQ278">
        <v>0</v>
      </c>
      <c r="DR278">
        <v>0</v>
      </c>
      <c r="DS278">
        <v>0</v>
      </c>
      <c r="DT278">
        <v>0</v>
      </c>
      <c r="DU278">
        <v>2</v>
      </c>
      <c r="DV278">
        <v>111</v>
      </c>
      <c r="DW278">
        <v>49</v>
      </c>
      <c r="DX278">
        <v>42</v>
      </c>
      <c r="DY278">
        <v>0</v>
      </c>
      <c r="DZ278">
        <v>0</v>
      </c>
      <c r="EA278">
        <v>4</v>
      </c>
      <c r="EB278">
        <v>0</v>
      </c>
      <c r="EC278">
        <v>0</v>
      </c>
      <c r="ED278">
        <v>3</v>
      </c>
      <c r="EE278">
        <v>0</v>
      </c>
      <c r="EF278">
        <v>0</v>
      </c>
      <c r="EG278">
        <v>0</v>
      </c>
      <c r="EH278">
        <v>49</v>
      </c>
      <c r="EI278">
        <v>2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1</v>
      </c>
      <c r="EP278">
        <v>0</v>
      </c>
      <c r="EQ278">
        <v>1</v>
      </c>
      <c r="ER278">
        <v>2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</row>
    <row r="279" spans="1:172" ht="14.25">
      <c r="A279">
        <v>274</v>
      </c>
      <c r="B279" t="str">
        <f t="shared" si="56"/>
        <v>101709</v>
      </c>
      <c r="C279" t="str">
        <f t="shared" si="57"/>
        <v>Wieluń</v>
      </c>
      <c r="D279" t="str">
        <f t="shared" si="52"/>
        <v>wieluński</v>
      </c>
      <c r="E279" t="str">
        <f t="shared" si="55"/>
        <v>łódzkie</v>
      </c>
      <c r="F279">
        <v>5</v>
      </c>
      <c r="G279" t="str">
        <f>"Liceum Ogólnokształcące SPSK w Wieluniu, Śląska 23, 98-300 Wieluń"</f>
        <v>Liceum Ogólnokształcące SPSK w Wieluniu, Śląska 23, 98-300 Wieluń</v>
      </c>
      <c r="H279">
        <v>1453</v>
      </c>
      <c r="I279">
        <v>1453</v>
      </c>
      <c r="J279">
        <v>0</v>
      </c>
      <c r="K279">
        <v>1030</v>
      </c>
      <c r="L279">
        <v>651</v>
      </c>
      <c r="M279">
        <v>379</v>
      </c>
      <c r="N279">
        <v>379</v>
      </c>
      <c r="O279">
        <v>0</v>
      </c>
      <c r="P279">
        <v>0</v>
      </c>
      <c r="Q279">
        <v>2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379</v>
      </c>
      <c r="Z279">
        <v>0</v>
      </c>
      <c r="AA279">
        <v>0</v>
      </c>
      <c r="AB279">
        <v>379</v>
      </c>
      <c r="AC279">
        <v>9</v>
      </c>
      <c r="AD279">
        <v>370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1</v>
      </c>
      <c r="AR279">
        <v>1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1</v>
      </c>
      <c r="BC279">
        <v>27</v>
      </c>
      <c r="BD279">
        <v>20</v>
      </c>
      <c r="BE279">
        <v>4</v>
      </c>
      <c r="BF279">
        <v>1</v>
      </c>
      <c r="BG279">
        <v>0</v>
      </c>
      <c r="BH279">
        <v>0</v>
      </c>
      <c r="BI279">
        <v>0</v>
      </c>
      <c r="BJ279">
        <v>0</v>
      </c>
      <c r="BK279">
        <v>1</v>
      </c>
      <c r="BL279">
        <v>0</v>
      </c>
      <c r="BM279">
        <v>1</v>
      </c>
      <c r="BN279">
        <v>27</v>
      </c>
      <c r="BO279">
        <v>139</v>
      </c>
      <c r="BP279">
        <v>124</v>
      </c>
      <c r="BQ279">
        <v>2</v>
      </c>
      <c r="BR279">
        <v>3</v>
      </c>
      <c r="BS279">
        <v>6</v>
      </c>
      <c r="BT279">
        <v>0</v>
      </c>
      <c r="BU279">
        <v>1</v>
      </c>
      <c r="BV279">
        <v>0</v>
      </c>
      <c r="BW279">
        <v>0</v>
      </c>
      <c r="BX279">
        <v>3</v>
      </c>
      <c r="BY279">
        <v>0</v>
      </c>
      <c r="BZ279">
        <v>139</v>
      </c>
      <c r="CA279">
        <v>7</v>
      </c>
      <c r="CB279">
        <v>2</v>
      </c>
      <c r="CC279">
        <v>1</v>
      </c>
      <c r="CD279">
        <v>1</v>
      </c>
      <c r="CE279">
        <v>0</v>
      </c>
      <c r="CF279">
        <v>2</v>
      </c>
      <c r="CG279">
        <v>0</v>
      </c>
      <c r="CH279">
        <v>0</v>
      </c>
      <c r="CI279">
        <v>0</v>
      </c>
      <c r="CJ279">
        <v>0</v>
      </c>
      <c r="CK279">
        <v>1</v>
      </c>
      <c r="CL279">
        <v>7</v>
      </c>
      <c r="CM279">
        <v>8</v>
      </c>
      <c r="CN279">
        <v>3</v>
      </c>
      <c r="CO279">
        <v>1</v>
      </c>
      <c r="CP279">
        <v>0</v>
      </c>
      <c r="CQ279">
        <v>2</v>
      </c>
      <c r="CR279">
        <v>0</v>
      </c>
      <c r="CS279">
        <v>2</v>
      </c>
      <c r="CT279">
        <v>0</v>
      </c>
      <c r="CU279">
        <v>0</v>
      </c>
      <c r="CV279">
        <v>0</v>
      </c>
      <c r="CW279">
        <v>0</v>
      </c>
      <c r="CX279">
        <v>8</v>
      </c>
      <c r="CY279">
        <v>23</v>
      </c>
      <c r="CZ279">
        <v>14</v>
      </c>
      <c r="DA279">
        <v>4</v>
      </c>
      <c r="DB279">
        <v>2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1</v>
      </c>
      <c r="DI279">
        <v>1</v>
      </c>
      <c r="DJ279">
        <v>23</v>
      </c>
      <c r="DK279">
        <v>106</v>
      </c>
      <c r="DL279">
        <v>88</v>
      </c>
      <c r="DM279">
        <v>12</v>
      </c>
      <c r="DN279">
        <v>0</v>
      </c>
      <c r="DO279">
        <v>1</v>
      </c>
      <c r="DP279">
        <v>3</v>
      </c>
      <c r="DQ279">
        <v>0</v>
      </c>
      <c r="DR279">
        <v>1</v>
      </c>
      <c r="DS279">
        <v>1</v>
      </c>
      <c r="DT279">
        <v>0</v>
      </c>
      <c r="DU279">
        <v>0</v>
      </c>
      <c r="DV279">
        <v>106</v>
      </c>
      <c r="DW279">
        <v>58</v>
      </c>
      <c r="DX279">
        <v>53</v>
      </c>
      <c r="DY279">
        <v>0</v>
      </c>
      <c r="DZ279">
        <v>0</v>
      </c>
      <c r="EA279">
        <v>0</v>
      </c>
      <c r="EB279">
        <v>0</v>
      </c>
      <c r="EC279">
        <v>3</v>
      </c>
      <c r="ED279">
        <v>0</v>
      </c>
      <c r="EE279">
        <v>2</v>
      </c>
      <c r="EF279">
        <v>0</v>
      </c>
      <c r="EG279">
        <v>0</v>
      </c>
      <c r="EH279">
        <v>58</v>
      </c>
      <c r="EI279">
        <v>1</v>
      </c>
      <c r="EJ279">
        <v>0</v>
      </c>
      <c r="EK279">
        <v>1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1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</row>
    <row r="280" spans="1:172" ht="14.25">
      <c r="A280">
        <v>275</v>
      </c>
      <c r="B280" t="str">
        <f t="shared" si="56"/>
        <v>101709</v>
      </c>
      <c r="C280" t="str">
        <f t="shared" si="57"/>
        <v>Wieluń</v>
      </c>
      <c r="D280" t="str">
        <f t="shared" si="52"/>
        <v>wieluński</v>
      </c>
      <c r="E280" t="str">
        <f t="shared" si="55"/>
        <v>łódzkie</v>
      </c>
      <c r="F280">
        <v>6</v>
      </c>
      <c r="G280" t="str">
        <f>"Młodzieżowy Dom Kultury w Wieluniu, 3 Maja 29, 98-300 Wieluń"</f>
        <v>Młodzieżowy Dom Kultury w Wieluniu, 3 Maja 29, 98-300 Wieluń</v>
      </c>
      <c r="H280">
        <v>1665</v>
      </c>
      <c r="I280">
        <v>1665</v>
      </c>
      <c r="J280">
        <v>0</v>
      </c>
      <c r="K280">
        <v>1178</v>
      </c>
      <c r="L280">
        <v>694</v>
      </c>
      <c r="M280">
        <v>484</v>
      </c>
      <c r="N280">
        <v>484</v>
      </c>
      <c r="O280">
        <v>0</v>
      </c>
      <c r="P280">
        <v>0</v>
      </c>
      <c r="Q280">
        <v>3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484</v>
      </c>
      <c r="Z280">
        <v>0</v>
      </c>
      <c r="AA280">
        <v>0</v>
      </c>
      <c r="AB280">
        <v>484</v>
      </c>
      <c r="AC280">
        <v>13</v>
      </c>
      <c r="AD280">
        <v>471</v>
      </c>
      <c r="AE280">
        <v>8</v>
      </c>
      <c r="AF280">
        <v>7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1</v>
      </c>
      <c r="AM280">
        <v>0</v>
      </c>
      <c r="AN280">
        <v>0</v>
      </c>
      <c r="AO280">
        <v>0</v>
      </c>
      <c r="AP280">
        <v>8</v>
      </c>
      <c r="AQ280">
        <v>8</v>
      </c>
      <c r="AR280">
        <v>4</v>
      </c>
      <c r="AS280">
        <v>1</v>
      </c>
      <c r="AT280">
        <v>0</v>
      </c>
      <c r="AU280">
        <v>1</v>
      </c>
      <c r="AV280">
        <v>0</v>
      </c>
      <c r="AW280">
        <v>0</v>
      </c>
      <c r="AX280">
        <v>0</v>
      </c>
      <c r="AY280">
        <v>1</v>
      </c>
      <c r="AZ280">
        <v>1</v>
      </c>
      <c r="BA280">
        <v>0</v>
      </c>
      <c r="BB280">
        <v>8</v>
      </c>
      <c r="BC280">
        <v>33</v>
      </c>
      <c r="BD280">
        <v>17</v>
      </c>
      <c r="BE280">
        <v>9</v>
      </c>
      <c r="BF280">
        <v>3</v>
      </c>
      <c r="BG280">
        <v>1</v>
      </c>
      <c r="BH280">
        <v>0</v>
      </c>
      <c r="BI280">
        <v>0</v>
      </c>
      <c r="BJ280">
        <v>1</v>
      </c>
      <c r="BK280">
        <v>0</v>
      </c>
      <c r="BL280">
        <v>2</v>
      </c>
      <c r="BM280">
        <v>0</v>
      </c>
      <c r="BN280">
        <v>33</v>
      </c>
      <c r="BO280">
        <v>178</v>
      </c>
      <c r="BP280">
        <v>153</v>
      </c>
      <c r="BQ280">
        <v>3</v>
      </c>
      <c r="BR280">
        <v>7</v>
      </c>
      <c r="BS280">
        <v>7</v>
      </c>
      <c r="BT280">
        <v>1</v>
      </c>
      <c r="BU280">
        <v>2</v>
      </c>
      <c r="BV280">
        <v>3</v>
      </c>
      <c r="BW280">
        <v>0</v>
      </c>
      <c r="BX280">
        <v>1</v>
      </c>
      <c r="BY280">
        <v>1</v>
      </c>
      <c r="BZ280">
        <v>178</v>
      </c>
      <c r="CA280">
        <v>6</v>
      </c>
      <c r="CB280">
        <v>1</v>
      </c>
      <c r="CC280">
        <v>0</v>
      </c>
      <c r="CD280">
        <v>2</v>
      </c>
      <c r="CE280">
        <v>1</v>
      </c>
      <c r="CF280">
        <v>1</v>
      </c>
      <c r="CG280">
        <v>0</v>
      </c>
      <c r="CH280">
        <v>1</v>
      </c>
      <c r="CI280">
        <v>0</v>
      </c>
      <c r="CJ280">
        <v>0</v>
      </c>
      <c r="CK280">
        <v>0</v>
      </c>
      <c r="CL280">
        <v>6</v>
      </c>
      <c r="CM280">
        <v>8</v>
      </c>
      <c r="CN280">
        <v>6</v>
      </c>
      <c r="CO280">
        <v>0</v>
      </c>
      <c r="CP280">
        <v>0</v>
      </c>
      <c r="CQ280">
        <v>0</v>
      </c>
      <c r="CR280">
        <v>0</v>
      </c>
      <c r="CS280">
        <v>2</v>
      </c>
      <c r="CT280">
        <v>0</v>
      </c>
      <c r="CU280">
        <v>0</v>
      </c>
      <c r="CV280">
        <v>0</v>
      </c>
      <c r="CW280">
        <v>0</v>
      </c>
      <c r="CX280">
        <v>8</v>
      </c>
      <c r="CY280">
        <v>37</v>
      </c>
      <c r="CZ280">
        <v>24</v>
      </c>
      <c r="DA280">
        <v>2</v>
      </c>
      <c r="DB280">
        <v>0</v>
      </c>
      <c r="DC280">
        <v>0</v>
      </c>
      <c r="DD280">
        <v>2</v>
      </c>
      <c r="DE280">
        <v>3</v>
      </c>
      <c r="DF280">
        <v>0</v>
      </c>
      <c r="DG280">
        <v>1</v>
      </c>
      <c r="DH280">
        <v>0</v>
      </c>
      <c r="DI280">
        <v>5</v>
      </c>
      <c r="DJ280">
        <v>37</v>
      </c>
      <c r="DK280">
        <v>112</v>
      </c>
      <c r="DL280">
        <v>92</v>
      </c>
      <c r="DM280">
        <v>14</v>
      </c>
      <c r="DN280">
        <v>0</v>
      </c>
      <c r="DO280">
        <v>2</v>
      </c>
      <c r="DP280">
        <v>0</v>
      </c>
      <c r="DQ280">
        <v>0</v>
      </c>
      <c r="DR280">
        <v>0</v>
      </c>
      <c r="DS280">
        <v>0</v>
      </c>
      <c r="DT280">
        <v>1</v>
      </c>
      <c r="DU280">
        <v>3</v>
      </c>
      <c r="DV280">
        <v>112</v>
      </c>
      <c r="DW280">
        <v>71</v>
      </c>
      <c r="DX280">
        <v>67</v>
      </c>
      <c r="DY280">
        <v>1</v>
      </c>
      <c r="DZ280">
        <v>0</v>
      </c>
      <c r="EA280">
        <v>0</v>
      </c>
      <c r="EB280">
        <v>0</v>
      </c>
      <c r="EC280">
        <v>0</v>
      </c>
      <c r="ED280">
        <v>3</v>
      </c>
      <c r="EE280">
        <v>0</v>
      </c>
      <c r="EF280">
        <v>0</v>
      </c>
      <c r="EG280">
        <v>0</v>
      </c>
      <c r="EH280">
        <v>71</v>
      </c>
      <c r="EI280">
        <v>2</v>
      </c>
      <c r="EJ280">
        <v>0</v>
      </c>
      <c r="EK280">
        <v>1</v>
      </c>
      <c r="EL280">
        <v>0</v>
      </c>
      <c r="EM280">
        <v>0</v>
      </c>
      <c r="EN280">
        <v>0</v>
      </c>
      <c r="EO280">
        <v>0</v>
      </c>
      <c r="EP280">
        <v>1</v>
      </c>
      <c r="EQ280">
        <v>0</v>
      </c>
      <c r="ER280">
        <v>2</v>
      </c>
      <c r="ES280">
        <v>4</v>
      </c>
      <c r="ET280">
        <v>4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4</v>
      </c>
      <c r="FE280">
        <v>4</v>
      </c>
      <c r="FF280">
        <v>1</v>
      </c>
      <c r="FG280">
        <v>0</v>
      </c>
      <c r="FH280">
        <v>2</v>
      </c>
      <c r="FI280">
        <v>1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4</v>
      </c>
    </row>
    <row r="281" spans="1:172" ht="14.25">
      <c r="A281">
        <v>276</v>
      </c>
      <c r="B281" t="str">
        <f t="shared" si="56"/>
        <v>101709</v>
      </c>
      <c r="C281" t="str">
        <f t="shared" si="57"/>
        <v>Wieluń</v>
      </c>
      <c r="D281" t="str">
        <f t="shared" si="52"/>
        <v>wieluński</v>
      </c>
      <c r="E281" t="str">
        <f t="shared" si="55"/>
        <v>łódzkie</v>
      </c>
      <c r="F281">
        <v>7</v>
      </c>
      <c r="G281" t="str">
        <f>"Gimnazjum nr 1 w Wieluniu, 18 Stycznia 24, 98-300 Wieluń"</f>
        <v>Gimnazjum nr 1 w Wieluniu, 18 Stycznia 24, 98-300 Wieluń</v>
      </c>
      <c r="H281">
        <v>1219</v>
      </c>
      <c r="I281">
        <v>1219</v>
      </c>
      <c r="J281">
        <v>0</v>
      </c>
      <c r="K281">
        <v>860</v>
      </c>
      <c r="L281">
        <v>580</v>
      </c>
      <c r="M281">
        <v>280</v>
      </c>
      <c r="N281">
        <v>280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280</v>
      </c>
      <c r="Z281">
        <v>0</v>
      </c>
      <c r="AA281">
        <v>0</v>
      </c>
      <c r="AB281">
        <v>280</v>
      </c>
      <c r="AC281">
        <v>13</v>
      </c>
      <c r="AD281">
        <v>267</v>
      </c>
      <c r="AE281">
        <v>5</v>
      </c>
      <c r="AF281">
        <v>4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0</v>
      </c>
      <c r="AO281">
        <v>0</v>
      </c>
      <c r="AP281">
        <v>5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22</v>
      </c>
      <c r="BD281">
        <v>10</v>
      </c>
      <c r="BE281">
        <v>4</v>
      </c>
      <c r="BF281">
        <v>1</v>
      </c>
      <c r="BG281">
        <v>2</v>
      </c>
      <c r="BH281">
        <v>0</v>
      </c>
      <c r="BI281">
        <v>0</v>
      </c>
      <c r="BJ281">
        <v>0</v>
      </c>
      <c r="BK281">
        <v>0</v>
      </c>
      <c r="BL281">
        <v>2</v>
      </c>
      <c r="BM281">
        <v>3</v>
      </c>
      <c r="BN281">
        <v>22</v>
      </c>
      <c r="BO281">
        <v>82</v>
      </c>
      <c r="BP281">
        <v>71</v>
      </c>
      <c r="BQ281">
        <v>3</v>
      </c>
      <c r="BR281">
        <v>4</v>
      </c>
      <c r="BS281">
        <v>1</v>
      </c>
      <c r="BT281">
        <v>2</v>
      </c>
      <c r="BU281">
        <v>0</v>
      </c>
      <c r="BV281">
        <v>0</v>
      </c>
      <c r="BW281">
        <v>1</v>
      </c>
      <c r="BX281">
        <v>0</v>
      </c>
      <c r="BY281">
        <v>0</v>
      </c>
      <c r="BZ281">
        <v>82</v>
      </c>
      <c r="CA281">
        <v>6</v>
      </c>
      <c r="CB281">
        <v>2</v>
      </c>
      <c r="CC281">
        <v>3</v>
      </c>
      <c r="CD281">
        <v>0</v>
      </c>
      <c r="CE281">
        <v>1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6</v>
      </c>
      <c r="CM281">
        <v>7</v>
      </c>
      <c r="CN281">
        <v>4</v>
      </c>
      <c r="CO281">
        <v>0</v>
      </c>
      <c r="CP281">
        <v>0</v>
      </c>
      <c r="CQ281">
        <v>0</v>
      </c>
      <c r="CR281">
        <v>0</v>
      </c>
      <c r="CS281">
        <v>3</v>
      </c>
      <c r="CT281">
        <v>0</v>
      </c>
      <c r="CU281">
        <v>0</v>
      </c>
      <c r="CV281">
        <v>0</v>
      </c>
      <c r="CW281">
        <v>0</v>
      </c>
      <c r="CX281">
        <v>7</v>
      </c>
      <c r="CY281">
        <v>19</v>
      </c>
      <c r="CZ281">
        <v>10</v>
      </c>
      <c r="DA281">
        <v>2</v>
      </c>
      <c r="DB281">
        <v>2</v>
      </c>
      <c r="DC281">
        <v>1</v>
      </c>
      <c r="DD281">
        <v>0</v>
      </c>
      <c r="DE281">
        <v>1</v>
      </c>
      <c r="DF281">
        <v>0</v>
      </c>
      <c r="DG281">
        <v>0</v>
      </c>
      <c r="DH281">
        <v>1</v>
      </c>
      <c r="DI281">
        <v>2</v>
      </c>
      <c r="DJ281">
        <v>19</v>
      </c>
      <c r="DK281">
        <v>87</v>
      </c>
      <c r="DL281">
        <v>70</v>
      </c>
      <c r="DM281">
        <v>10</v>
      </c>
      <c r="DN281">
        <v>0</v>
      </c>
      <c r="DO281">
        <v>3</v>
      </c>
      <c r="DP281">
        <v>2</v>
      </c>
      <c r="DQ281">
        <v>1</v>
      </c>
      <c r="DR281">
        <v>0</v>
      </c>
      <c r="DS281">
        <v>1</v>
      </c>
      <c r="DT281">
        <v>0</v>
      </c>
      <c r="DU281">
        <v>0</v>
      </c>
      <c r="DV281">
        <v>87</v>
      </c>
      <c r="DW281">
        <v>33</v>
      </c>
      <c r="DX281">
        <v>31</v>
      </c>
      <c r="DY281">
        <v>0</v>
      </c>
      <c r="DZ281">
        <v>0</v>
      </c>
      <c r="EA281">
        <v>0</v>
      </c>
      <c r="EB281">
        <v>1</v>
      </c>
      <c r="EC281">
        <v>0</v>
      </c>
      <c r="ED281">
        <v>1</v>
      </c>
      <c r="EE281">
        <v>0</v>
      </c>
      <c r="EF281">
        <v>0</v>
      </c>
      <c r="EG281">
        <v>0</v>
      </c>
      <c r="EH281">
        <v>33</v>
      </c>
      <c r="EI281">
        <v>1</v>
      </c>
      <c r="EJ281">
        <v>0</v>
      </c>
      <c r="EK281">
        <v>1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1</v>
      </c>
      <c r="ES281">
        <v>4</v>
      </c>
      <c r="ET281">
        <v>1</v>
      </c>
      <c r="EU281">
        <v>1</v>
      </c>
      <c r="EV281">
        <v>0</v>
      </c>
      <c r="EW281">
        <v>1</v>
      </c>
      <c r="EX281">
        <v>0</v>
      </c>
      <c r="EY281">
        <v>0</v>
      </c>
      <c r="EZ281">
        <v>0</v>
      </c>
      <c r="FA281">
        <v>1</v>
      </c>
      <c r="FB281">
        <v>0</v>
      </c>
      <c r="FC281">
        <v>0</v>
      </c>
      <c r="FD281">
        <v>4</v>
      </c>
      <c r="FE281">
        <v>1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1</v>
      </c>
      <c r="FP281">
        <v>1</v>
      </c>
    </row>
    <row r="282" spans="1:172" ht="14.25">
      <c r="A282">
        <v>277</v>
      </c>
      <c r="B282" t="str">
        <f t="shared" si="56"/>
        <v>101709</v>
      </c>
      <c r="C282" t="str">
        <f t="shared" si="57"/>
        <v>Wieluń</v>
      </c>
      <c r="D282" t="str">
        <f t="shared" si="52"/>
        <v>wieluński</v>
      </c>
      <c r="E282" t="str">
        <f t="shared" si="55"/>
        <v>łódzkie</v>
      </c>
      <c r="F282">
        <v>8</v>
      </c>
      <c r="G282" t="str">
        <f>"Wieluński Dom Kultury w Wieluniu, Krakowskie Przedmieście 5, 98-300 Wieluń"</f>
        <v>Wieluński Dom Kultury w Wieluniu, Krakowskie Przedmieście 5, 98-300 Wieluń</v>
      </c>
      <c r="H282">
        <v>1327</v>
      </c>
      <c r="I282">
        <v>1327</v>
      </c>
      <c r="J282">
        <v>0</v>
      </c>
      <c r="K282">
        <v>932</v>
      </c>
      <c r="L282">
        <v>649</v>
      </c>
      <c r="M282">
        <v>283</v>
      </c>
      <c r="N282">
        <v>283</v>
      </c>
      <c r="O282">
        <v>0</v>
      </c>
      <c r="P282">
        <v>1</v>
      </c>
      <c r="Q282">
        <v>3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283</v>
      </c>
      <c r="Z282">
        <v>0</v>
      </c>
      <c r="AA282">
        <v>0</v>
      </c>
      <c r="AB282">
        <v>283</v>
      </c>
      <c r="AC282">
        <v>3</v>
      </c>
      <c r="AD282">
        <v>280</v>
      </c>
      <c r="AE282">
        <v>7</v>
      </c>
      <c r="AF282">
        <v>3</v>
      </c>
      <c r="AG282">
        <v>0</v>
      </c>
      <c r="AH282">
        <v>0</v>
      </c>
      <c r="AI282">
        <v>1</v>
      </c>
      <c r="AJ282">
        <v>0</v>
      </c>
      <c r="AK282">
        <v>2</v>
      </c>
      <c r="AL282">
        <v>1</v>
      </c>
      <c r="AM282">
        <v>0</v>
      </c>
      <c r="AN282">
        <v>0</v>
      </c>
      <c r="AO282">
        <v>0</v>
      </c>
      <c r="AP282">
        <v>7</v>
      </c>
      <c r="AQ282">
        <v>4</v>
      </c>
      <c r="AR282">
        <v>1</v>
      </c>
      <c r="AS282">
        <v>0</v>
      </c>
      <c r="AT282">
        <v>0</v>
      </c>
      <c r="AU282">
        <v>3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4</v>
      </c>
      <c r="BC282">
        <v>15</v>
      </c>
      <c r="BD282">
        <v>4</v>
      </c>
      <c r="BE282">
        <v>7</v>
      </c>
      <c r="BF282">
        <v>3</v>
      </c>
      <c r="BG282">
        <v>0</v>
      </c>
      <c r="BH282">
        <v>0</v>
      </c>
      <c r="BI282">
        <v>1</v>
      </c>
      <c r="BJ282">
        <v>0</v>
      </c>
      <c r="BK282">
        <v>0</v>
      </c>
      <c r="BL282">
        <v>0</v>
      </c>
      <c r="BM282">
        <v>0</v>
      </c>
      <c r="BN282">
        <v>15</v>
      </c>
      <c r="BO282">
        <v>105</v>
      </c>
      <c r="BP282">
        <v>86</v>
      </c>
      <c r="BQ282">
        <v>7</v>
      </c>
      <c r="BR282">
        <v>0</v>
      </c>
      <c r="BS282">
        <v>3</v>
      </c>
      <c r="BT282">
        <v>0</v>
      </c>
      <c r="BU282">
        <v>9</v>
      </c>
      <c r="BV282">
        <v>0</v>
      </c>
      <c r="BW282">
        <v>0</v>
      </c>
      <c r="BX282">
        <v>0</v>
      </c>
      <c r="BY282">
        <v>0</v>
      </c>
      <c r="BZ282">
        <v>105</v>
      </c>
      <c r="CA282">
        <v>6</v>
      </c>
      <c r="CB282">
        <v>2</v>
      </c>
      <c r="CC282">
        <v>2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2</v>
      </c>
      <c r="CL282">
        <v>6</v>
      </c>
      <c r="CM282">
        <v>8</v>
      </c>
      <c r="CN282">
        <v>5</v>
      </c>
      <c r="CO282">
        <v>1</v>
      </c>
      <c r="CP282">
        <v>0</v>
      </c>
      <c r="CQ282">
        <v>1</v>
      </c>
      <c r="CR282">
        <v>0</v>
      </c>
      <c r="CS282">
        <v>1</v>
      </c>
      <c r="CT282">
        <v>0</v>
      </c>
      <c r="CU282">
        <v>0</v>
      </c>
      <c r="CV282">
        <v>0</v>
      </c>
      <c r="CW282">
        <v>0</v>
      </c>
      <c r="CX282">
        <v>8</v>
      </c>
      <c r="CY282">
        <v>20</v>
      </c>
      <c r="CZ282">
        <v>17</v>
      </c>
      <c r="DA282">
        <v>1</v>
      </c>
      <c r="DB282">
        <v>0</v>
      </c>
      <c r="DC282">
        <v>0</v>
      </c>
      <c r="DD282">
        <v>1</v>
      </c>
      <c r="DE282">
        <v>0</v>
      </c>
      <c r="DF282">
        <v>0</v>
      </c>
      <c r="DG282">
        <v>0</v>
      </c>
      <c r="DH282">
        <v>0</v>
      </c>
      <c r="DI282">
        <v>1</v>
      </c>
      <c r="DJ282">
        <v>20</v>
      </c>
      <c r="DK282">
        <v>69</v>
      </c>
      <c r="DL282">
        <v>43</v>
      </c>
      <c r="DM282">
        <v>17</v>
      </c>
      <c r="DN282">
        <v>1</v>
      </c>
      <c r="DO282">
        <v>3</v>
      </c>
      <c r="DP282">
        <v>1</v>
      </c>
      <c r="DQ282">
        <v>1</v>
      </c>
      <c r="DR282">
        <v>0</v>
      </c>
      <c r="DS282">
        <v>0</v>
      </c>
      <c r="DT282">
        <v>0</v>
      </c>
      <c r="DU282">
        <v>3</v>
      </c>
      <c r="DV282">
        <v>69</v>
      </c>
      <c r="DW282">
        <v>38</v>
      </c>
      <c r="DX282">
        <v>31</v>
      </c>
      <c r="DY282">
        <v>2</v>
      </c>
      <c r="DZ282">
        <v>0</v>
      </c>
      <c r="EA282">
        <v>2</v>
      </c>
      <c r="EB282">
        <v>0</v>
      </c>
      <c r="EC282">
        <v>0</v>
      </c>
      <c r="ED282">
        <v>3</v>
      </c>
      <c r="EE282">
        <v>0</v>
      </c>
      <c r="EF282">
        <v>0</v>
      </c>
      <c r="EG282">
        <v>0</v>
      </c>
      <c r="EH282">
        <v>38</v>
      </c>
      <c r="EI282">
        <v>5</v>
      </c>
      <c r="EJ282">
        <v>1</v>
      </c>
      <c r="EK282">
        <v>3</v>
      </c>
      <c r="EL282">
        <v>1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5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3</v>
      </c>
      <c r="FF282">
        <v>0</v>
      </c>
      <c r="FG282">
        <v>1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2</v>
      </c>
      <c r="FP282">
        <v>3</v>
      </c>
    </row>
    <row r="283" spans="1:172" ht="14.25">
      <c r="A283">
        <v>278</v>
      </c>
      <c r="B283" t="str">
        <f t="shared" si="56"/>
        <v>101709</v>
      </c>
      <c r="C283" t="str">
        <f t="shared" si="57"/>
        <v>Wieluń</v>
      </c>
      <c r="D283" t="str">
        <f t="shared" si="52"/>
        <v>wieluński</v>
      </c>
      <c r="E283" t="str">
        <f t="shared" si="55"/>
        <v>łódzkie</v>
      </c>
      <c r="F283">
        <v>9</v>
      </c>
      <c r="G283" t="str">
        <f>"Publiczne Przedszkole Nr 2 w Wieluniu, P.O.W. 14, 98-300 Wieluń"</f>
        <v>Publiczne Przedszkole Nr 2 w Wieluniu, P.O.W. 14, 98-300 Wieluń</v>
      </c>
      <c r="H283">
        <v>1143</v>
      </c>
      <c r="I283">
        <v>1143</v>
      </c>
      <c r="J283">
        <v>0</v>
      </c>
      <c r="K283">
        <v>810</v>
      </c>
      <c r="L283">
        <v>535</v>
      </c>
      <c r="M283">
        <v>275</v>
      </c>
      <c r="N283">
        <v>275</v>
      </c>
      <c r="O283">
        <v>0</v>
      </c>
      <c r="P283">
        <v>0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275</v>
      </c>
      <c r="Z283">
        <v>0</v>
      </c>
      <c r="AA283">
        <v>0</v>
      </c>
      <c r="AB283">
        <v>275</v>
      </c>
      <c r="AC283">
        <v>12</v>
      </c>
      <c r="AD283">
        <v>263</v>
      </c>
      <c r="AE283">
        <v>1</v>
      </c>
      <c r="AF283">
        <v>0</v>
      </c>
      <c r="AG283">
        <v>0</v>
      </c>
      <c r="AH283">
        <v>1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1</v>
      </c>
      <c r="AQ283">
        <v>1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1</v>
      </c>
      <c r="BB283">
        <v>1</v>
      </c>
      <c r="BC283">
        <v>17</v>
      </c>
      <c r="BD283">
        <v>8</v>
      </c>
      <c r="BE283">
        <v>3</v>
      </c>
      <c r="BF283">
        <v>3</v>
      </c>
      <c r="BG283">
        <v>1</v>
      </c>
      <c r="BH283">
        <v>0</v>
      </c>
      <c r="BI283">
        <v>0</v>
      </c>
      <c r="BJ283">
        <v>0</v>
      </c>
      <c r="BK283">
        <v>0</v>
      </c>
      <c r="BL283">
        <v>1</v>
      </c>
      <c r="BM283">
        <v>1</v>
      </c>
      <c r="BN283">
        <v>17</v>
      </c>
      <c r="BO283">
        <v>109</v>
      </c>
      <c r="BP283">
        <v>90</v>
      </c>
      <c r="BQ283">
        <v>7</v>
      </c>
      <c r="BR283">
        <v>4</v>
      </c>
      <c r="BS283">
        <v>4</v>
      </c>
      <c r="BT283">
        <v>1</v>
      </c>
      <c r="BU283">
        <v>0</v>
      </c>
      <c r="BV283">
        <v>0</v>
      </c>
      <c r="BW283">
        <v>0</v>
      </c>
      <c r="BX283">
        <v>1</v>
      </c>
      <c r="BY283">
        <v>2</v>
      </c>
      <c r="BZ283">
        <v>109</v>
      </c>
      <c r="CA283">
        <v>3</v>
      </c>
      <c r="CB283">
        <v>0</v>
      </c>
      <c r="CC283">
        <v>0</v>
      </c>
      <c r="CD283">
        <v>1</v>
      </c>
      <c r="CE283">
        <v>0</v>
      </c>
      <c r="CF283">
        <v>0</v>
      </c>
      <c r="CG283">
        <v>0</v>
      </c>
      <c r="CH283">
        <v>1</v>
      </c>
      <c r="CI283">
        <v>0</v>
      </c>
      <c r="CJ283">
        <v>1</v>
      </c>
      <c r="CK283">
        <v>0</v>
      </c>
      <c r="CL283">
        <v>3</v>
      </c>
      <c r="CM283">
        <v>7</v>
      </c>
      <c r="CN283">
        <v>5</v>
      </c>
      <c r="CO283">
        <v>0</v>
      </c>
      <c r="CP283">
        <v>1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1</v>
      </c>
      <c r="CX283">
        <v>7</v>
      </c>
      <c r="CY283">
        <v>11</v>
      </c>
      <c r="CZ283">
        <v>4</v>
      </c>
      <c r="DA283">
        <v>0</v>
      </c>
      <c r="DB283">
        <v>1</v>
      </c>
      <c r="DC283">
        <v>2</v>
      </c>
      <c r="DD283">
        <v>0</v>
      </c>
      <c r="DE283">
        <v>1</v>
      </c>
      <c r="DF283">
        <v>0</v>
      </c>
      <c r="DG283">
        <v>0</v>
      </c>
      <c r="DH283">
        <v>2</v>
      </c>
      <c r="DI283">
        <v>1</v>
      </c>
      <c r="DJ283">
        <v>11</v>
      </c>
      <c r="DK283">
        <v>74</v>
      </c>
      <c r="DL283">
        <v>51</v>
      </c>
      <c r="DM283">
        <v>11</v>
      </c>
      <c r="DN283">
        <v>0</v>
      </c>
      <c r="DO283">
        <v>4</v>
      </c>
      <c r="DP283">
        <v>1</v>
      </c>
      <c r="DQ283">
        <v>0</v>
      </c>
      <c r="DR283">
        <v>1</v>
      </c>
      <c r="DS283">
        <v>4</v>
      </c>
      <c r="DT283">
        <v>1</v>
      </c>
      <c r="DU283">
        <v>1</v>
      </c>
      <c r="DV283">
        <v>74</v>
      </c>
      <c r="DW283">
        <v>37</v>
      </c>
      <c r="DX283">
        <v>30</v>
      </c>
      <c r="DY283">
        <v>0</v>
      </c>
      <c r="DZ283">
        <v>0</v>
      </c>
      <c r="EA283">
        <v>1</v>
      </c>
      <c r="EB283">
        <v>0</v>
      </c>
      <c r="EC283">
        <v>4</v>
      </c>
      <c r="ED283">
        <v>2</v>
      </c>
      <c r="EE283">
        <v>0</v>
      </c>
      <c r="EF283">
        <v>0</v>
      </c>
      <c r="EG283">
        <v>0</v>
      </c>
      <c r="EH283">
        <v>37</v>
      </c>
      <c r="EI283">
        <v>1</v>
      </c>
      <c r="EJ283">
        <v>0</v>
      </c>
      <c r="EK283">
        <v>1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1</v>
      </c>
      <c r="ES283">
        <v>1</v>
      </c>
      <c r="ET283">
        <v>1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1</v>
      </c>
      <c r="FE283">
        <v>1</v>
      </c>
      <c r="FF283">
        <v>0</v>
      </c>
      <c r="FG283">
        <v>0</v>
      </c>
      <c r="FH283">
        <v>0</v>
      </c>
      <c r="FI283">
        <v>0</v>
      </c>
      <c r="FJ283">
        <v>1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1</v>
      </c>
    </row>
    <row r="284" spans="1:172" ht="14.25">
      <c r="A284">
        <v>279</v>
      </c>
      <c r="B284" t="str">
        <f t="shared" si="56"/>
        <v>101709</v>
      </c>
      <c r="C284" t="str">
        <f t="shared" si="57"/>
        <v>Wieluń</v>
      </c>
      <c r="D284" t="str">
        <f t="shared" si="52"/>
        <v>wieluński</v>
      </c>
      <c r="E284" t="str">
        <f t="shared" si="55"/>
        <v>łódzkie</v>
      </c>
      <c r="F284">
        <v>10</v>
      </c>
      <c r="G284" t="str">
        <f>"Szkoła Podstawowa nr 2 w Wieluniu, Osiedle Wyszyńskiego 30A, 98-300 Wieluń"</f>
        <v>Szkoła Podstawowa nr 2 w Wieluniu, Osiedle Wyszyńskiego 30A, 98-300 Wieluń</v>
      </c>
      <c r="H284">
        <v>1355</v>
      </c>
      <c r="I284">
        <v>1355</v>
      </c>
      <c r="J284">
        <v>0</v>
      </c>
      <c r="K284">
        <v>948</v>
      </c>
      <c r="L284">
        <v>634</v>
      </c>
      <c r="M284">
        <v>314</v>
      </c>
      <c r="N284">
        <v>314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314</v>
      </c>
      <c r="Z284">
        <v>0</v>
      </c>
      <c r="AA284">
        <v>0</v>
      </c>
      <c r="AB284">
        <v>314</v>
      </c>
      <c r="AC284">
        <v>14</v>
      </c>
      <c r="AD284">
        <v>300</v>
      </c>
      <c r="AE284">
        <v>7</v>
      </c>
      <c r="AF284">
        <v>4</v>
      </c>
      <c r="AG284">
        <v>0</v>
      </c>
      <c r="AH284">
        <v>1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1</v>
      </c>
      <c r="AP284">
        <v>7</v>
      </c>
      <c r="AQ284">
        <v>4</v>
      </c>
      <c r="AR284">
        <v>2</v>
      </c>
      <c r="AS284">
        <v>1</v>
      </c>
      <c r="AT284">
        <v>1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4</v>
      </c>
      <c r="BC284">
        <v>38</v>
      </c>
      <c r="BD284">
        <v>22</v>
      </c>
      <c r="BE284">
        <v>6</v>
      </c>
      <c r="BF284">
        <v>4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2</v>
      </c>
      <c r="BM284">
        <v>3</v>
      </c>
      <c r="BN284">
        <v>38</v>
      </c>
      <c r="BO284">
        <v>76</v>
      </c>
      <c r="BP284">
        <v>66</v>
      </c>
      <c r="BQ284">
        <v>3</v>
      </c>
      <c r="BR284">
        <v>3</v>
      </c>
      <c r="BS284">
        <v>3</v>
      </c>
      <c r="BT284">
        <v>0</v>
      </c>
      <c r="BU284">
        <v>0</v>
      </c>
      <c r="BV284">
        <v>0</v>
      </c>
      <c r="BW284">
        <v>1</v>
      </c>
      <c r="BX284">
        <v>0</v>
      </c>
      <c r="BY284">
        <v>0</v>
      </c>
      <c r="BZ284">
        <v>76</v>
      </c>
      <c r="CA284">
        <v>12</v>
      </c>
      <c r="CB284">
        <v>6</v>
      </c>
      <c r="CC284">
        <v>2</v>
      </c>
      <c r="CD284">
        <v>1</v>
      </c>
      <c r="CE284">
        <v>1</v>
      </c>
      <c r="CF284">
        <v>0</v>
      </c>
      <c r="CG284">
        <v>0</v>
      </c>
      <c r="CH284">
        <v>0</v>
      </c>
      <c r="CI284">
        <v>1</v>
      </c>
      <c r="CJ284">
        <v>0</v>
      </c>
      <c r="CK284">
        <v>1</v>
      </c>
      <c r="CL284">
        <v>12</v>
      </c>
      <c r="CM284">
        <v>7</v>
      </c>
      <c r="CN284">
        <v>4</v>
      </c>
      <c r="CO284">
        <v>0</v>
      </c>
      <c r="CP284">
        <v>0</v>
      </c>
      <c r="CQ284">
        <v>0</v>
      </c>
      <c r="CR284">
        <v>0</v>
      </c>
      <c r="CS284">
        <v>1</v>
      </c>
      <c r="CT284">
        <v>0</v>
      </c>
      <c r="CU284">
        <v>0</v>
      </c>
      <c r="CV284">
        <v>0</v>
      </c>
      <c r="CW284">
        <v>2</v>
      </c>
      <c r="CX284">
        <v>7</v>
      </c>
      <c r="CY284">
        <v>9</v>
      </c>
      <c r="CZ284">
        <v>6</v>
      </c>
      <c r="DA284">
        <v>1</v>
      </c>
      <c r="DB284">
        <v>1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1</v>
      </c>
      <c r="DJ284">
        <v>9</v>
      </c>
      <c r="DK284">
        <v>106</v>
      </c>
      <c r="DL284">
        <v>75</v>
      </c>
      <c r="DM284">
        <v>16</v>
      </c>
      <c r="DN284">
        <v>0</v>
      </c>
      <c r="DO284">
        <v>5</v>
      </c>
      <c r="DP284">
        <v>2</v>
      </c>
      <c r="DQ284">
        <v>1</v>
      </c>
      <c r="DR284">
        <v>0</v>
      </c>
      <c r="DS284">
        <v>1</v>
      </c>
      <c r="DT284">
        <v>1</v>
      </c>
      <c r="DU284">
        <v>5</v>
      </c>
      <c r="DV284">
        <v>106</v>
      </c>
      <c r="DW284">
        <v>38</v>
      </c>
      <c r="DX284">
        <v>33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4</v>
      </c>
      <c r="EE284">
        <v>1</v>
      </c>
      <c r="EF284">
        <v>0</v>
      </c>
      <c r="EG284">
        <v>0</v>
      </c>
      <c r="EH284">
        <v>38</v>
      </c>
      <c r="EI284">
        <v>1</v>
      </c>
      <c r="EJ284">
        <v>0</v>
      </c>
      <c r="EK284">
        <v>0</v>
      </c>
      <c r="EL284">
        <v>1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1</v>
      </c>
      <c r="ES284">
        <v>1</v>
      </c>
      <c r="ET284">
        <v>1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1</v>
      </c>
      <c r="FE284">
        <v>1</v>
      </c>
      <c r="FF284">
        <v>1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1</v>
      </c>
    </row>
    <row r="285" spans="1:172" ht="14.25">
      <c r="A285">
        <v>280</v>
      </c>
      <c r="B285" t="str">
        <f t="shared" si="56"/>
        <v>101709</v>
      </c>
      <c r="C285" t="str">
        <f t="shared" si="57"/>
        <v>Wieluń</v>
      </c>
      <c r="D285" t="str">
        <f t="shared" si="52"/>
        <v>wieluński</v>
      </c>
      <c r="E285" t="str">
        <f t="shared" si="55"/>
        <v>łódzkie</v>
      </c>
      <c r="F285">
        <v>11</v>
      </c>
      <c r="G285" t="str">
        <f>"Szkoła Podstawowa nr 2 w Wieluniu, Osiedle Wyszyńskiego 30A, 98-300 Wieluń"</f>
        <v>Szkoła Podstawowa nr 2 w Wieluniu, Osiedle Wyszyńskiego 30A, 98-300 Wieluń</v>
      </c>
      <c r="H285">
        <v>925</v>
      </c>
      <c r="I285">
        <v>925</v>
      </c>
      <c r="J285">
        <v>0</v>
      </c>
      <c r="K285">
        <v>650</v>
      </c>
      <c r="L285">
        <v>421</v>
      </c>
      <c r="M285">
        <v>229</v>
      </c>
      <c r="N285">
        <v>229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229</v>
      </c>
      <c r="Z285">
        <v>0</v>
      </c>
      <c r="AA285">
        <v>0</v>
      </c>
      <c r="AB285">
        <v>229</v>
      </c>
      <c r="AC285">
        <v>10</v>
      </c>
      <c r="AD285">
        <v>219</v>
      </c>
      <c r="AE285">
        <v>2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2</v>
      </c>
      <c r="AO285">
        <v>0</v>
      </c>
      <c r="AP285">
        <v>2</v>
      </c>
      <c r="AQ285">
        <v>2</v>
      </c>
      <c r="AR285">
        <v>2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2</v>
      </c>
      <c r="BC285">
        <v>17</v>
      </c>
      <c r="BD285">
        <v>10</v>
      </c>
      <c r="BE285">
        <v>0</v>
      </c>
      <c r="BF285">
        <v>3</v>
      </c>
      <c r="BG285">
        <v>0</v>
      </c>
      <c r="BH285">
        <v>1</v>
      </c>
      <c r="BI285">
        <v>0</v>
      </c>
      <c r="BJ285">
        <v>0</v>
      </c>
      <c r="BK285">
        <v>0</v>
      </c>
      <c r="BL285">
        <v>0</v>
      </c>
      <c r="BM285">
        <v>3</v>
      </c>
      <c r="BN285">
        <v>17</v>
      </c>
      <c r="BO285">
        <v>67</v>
      </c>
      <c r="BP285">
        <v>59</v>
      </c>
      <c r="BQ285">
        <v>1</v>
      </c>
      <c r="BR285">
        <v>5</v>
      </c>
      <c r="BS285">
        <v>1</v>
      </c>
      <c r="BT285">
        <v>0</v>
      </c>
      <c r="BU285">
        <v>0</v>
      </c>
      <c r="BV285">
        <v>0</v>
      </c>
      <c r="BW285">
        <v>0</v>
      </c>
      <c r="BX285">
        <v>1</v>
      </c>
      <c r="BY285">
        <v>0</v>
      </c>
      <c r="BZ285">
        <v>67</v>
      </c>
      <c r="CA285">
        <v>9</v>
      </c>
      <c r="CB285">
        <v>3</v>
      </c>
      <c r="CC285">
        <v>1</v>
      </c>
      <c r="CD285">
        <v>1</v>
      </c>
      <c r="CE285">
        <v>2</v>
      </c>
      <c r="CF285">
        <v>0</v>
      </c>
      <c r="CG285">
        <v>1</v>
      </c>
      <c r="CH285">
        <v>1</v>
      </c>
      <c r="CI285">
        <v>0</v>
      </c>
      <c r="CJ285">
        <v>0</v>
      </c>
      <c r="CK285">
        <v>0</v>
      </c>
      <c r="CL285">
        <v>9</v>
      </c>
      <c r="CM285">
        <v>10</v>
      </c>
      <c r="CN285">
        <v>6</v>
      </c>
      <c r="CO285">
        <v>1</v>
      </c>
      <c r="CP285">
        <v>0</v>
      </c>
      <c r="CQ285">
        <v>0</v>
      </c>
      <c r="CR285">
        <v>0</v>
      </c>
      <c r="CS285">
        <v>3</v>
      </c>
      <c r="CT285">
        <v>0</v>
      </c>
      <c r="CU285">
        <v>0</v>
      </c>
      <c r="CV285">
        <v>0</v>
      </c>
      <c r="CW285">
        <v>0</v>
      </c>
      <c r="CX285">
        <v>10</v>
      </c>
      <c r="CY285">
        <v>10</v>
      </c>
      <c r="CZ285">
        <v>6</v>
      </c>
      <c r="DA285">
        <v>1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0</v>
      </c>
      <c r="DH285">
        <v>1</v>
      </c>
      <c r="DI285">
        <v>1</v>
      </c>
      <c r="DJ285">
        <v>10</v>
      </c>
      <c r="DK285">
        <v>58</v>
      </c>
      <c r="DL285">
        <v>44</v>
      </c>
      <c r="DM285">
        <v>7</v>
      </c>
      <c r="DN285">
        <v>1</v>
      </c>
      <c r="DO285">
        <v>4</v>
      </c>
      <c r="DP285">
        <v>0</v>
      </c>
      <c r="DQ285">
        <v>0</v>
      </c>
      <c r="DR285">
        <v>1</v>
      </c>
      <c r="DS285">
        <v>0</v>
      </c>
      <c r="DT285">
        <v>0</v>
      </c>
      <c r="DU285">
        <v>1</v>
      </c>
      <c r="DV285">
        <v>58</v>
      </c>
      <c r="DW285">
        <v>37</v>
      </c>
      <c r="DX285">
        <v>36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1</v>
      </c>
      <c r="EG285">
        <v>0</v>
      </c>
      <c r="EH285">
        <v>37</v>
      </c>
      <c r="EI285">
        <v>5</v>
      </c>
      <c r="EJ285">
        <v>0</v>
      </c>
      <c r="EK285">
        <v>3</v>
      </c>
      <c r="EL285">
        <v>0</v>
      </c>
      <c r="EM285">
        <v>1</v>
      </c>
      <c r="EN285">
        <v>0</v>
      </c>
      <c r="EO285">
        <v>0</v>
      </c>
      <c r="EP285">
        <v>1</v>
      </c>
      <c r="EQ285">
        <v>0</v>
      </c>
      <c r="ER285">
        <v>5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2</v>
      </c>
      <c r="FF285">
        <v>1</v>
      </c>
      <c r="FG285">
        <v>0</v>
      </c>
      <c r="FH285">
        <v>1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2</v>
      </c>
    </row>
    <row r="286" spans="1:172" ht="14.25">
      <c r="A286">
        <v>281</v>
      </c>
      <c r="B286" t="str">
        <f t="shared" si="56"/>
        <v>101709</v>
      </c>
      <c r="C286" t="str">
        <f t="shared" si="57"/>
        <v>Wieluń</v>
      </c>
      <c r="D286" t="str">
        <f t="shared" si="52"/>
        <v>wieluński</v>
      </c>
      <c r="E286" t="str">
        <f t="shared" si="55"/>
        <v>łódzkie</v>
      </c>
      <c r="F286">
        <v>12</v>
      </c>
      <c r="G286" t="str">
        <f>"I Liceum Ogólnokształcące w Wieluniu, Nadodrzańska 4, 98-300 Wieluń"</f>
        <v>I Liceum Ogólnokształcące w Wieluniu, Nadodrzańska 4, 98-300 Wieluń</v>
      </c>
      <c r="H286">
        <v>1144</v>
      </c>
      <c r="I286">
        <v>1144</v>
      </c>
      <c r="J286">
        <v>0</v>
      </c>
      <c r="K286">
        <v>809</v>
      </c>
      <c r="L286">
        <v>531</v>
      </c>
      <c r="M286">
        <v>278</v>
      </c>
      <c r="N286">
        <v>278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278</v>
      </c>
      <c r="Z286">
        <v>0</v>
      </c>
      <c r="AA286">
        <v>0</v>
      </c>
      <c r="AB286">
        <v>278</v>
      </c>
      <c r="AC286">
        <v>10</v>
      </c>
      <c r="AD286">
        <v>268</v>
      </c>
      <c r="AE286">
        <v>1</v>
      </c>
      <c r="AF286">
        <v>1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2</v>
      </c>
      <c r="AR286">
        <v>1</v>
      </c>
      <c r="AS286">
        <v>1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2</v>
      </c>
      <c r="BC286">
        <v>21</v>
      </c>
      <c r="BD286">
        <v>9</v>
      </c>
      <c r="BE286">
        <v>2</v>
      </c>
      <c r="BF286">
        <v>9</v>
      </c>
      <c r="BG286">
        <v>1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21</v>
      </c>
      <c r="BO286">
        <v>96</v>
      </c>
      <c r="BP286">
        <v>86</v>
      </c>
      <c r="BQ286">
        <v>4</v>
      </c>
      <c r="BR286">
        <v>0</v>
      </c>
      <c r="BS286">
        <v>4</v>
      </c>
      <c r="BT286">
        <v>0</v>
      </c>
      <c r="BU286">
        <v>0</v>
      </c>
      <c r="BV286">
        <v>0</v>
      </c>
      <c r="BW286">
        <v>1</v>
      </c>
      <c r="BX286">
        <v>0</v>
      </c>
      <c r="BY286">
        <v>1</v>
      </c>
      <c r="BZ286">
        <v>96</v>
      </c>
      <c r="CA286">
        <v>9</v>
      </c>
      <c r="CB286">
        <v>3</v>
      </c>
      <c r="CC286">
        <v>3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1</v>
      </c>
      <c r="CK286">
        <v>2</v>
      </c>
      <c r="CL286">
        <v>9</v>
      </c>
      <c r="CM286">
        <v>11</v>
      </c>
      <c r="CN286">
        <v>5</v>
      </c>
      <c r="CO286">
        <v>1</v>
      </c>
      <c r="CP286">
        <v>0</v>
      </c>
      <c r="CQ286">
        <v>0</v>
      </c>
      <c r="CR286">
        <v>0</v>
      </c>
      <c r="CS286">
        <v>5</v>
      </c>
      <c r="CT286">
        <v>0</v>
      </c>
      <c r="CU286">
        <v>0</v>
      </c>
      <c r="CV286">
        <v>0</v>
      </c>
      <c r="CW286">
        <v>0</v>
      </c>
      <c r="CX286">
        <v>11</v>
      </c>
      <c r="CY286">
        <v>16</v>
      </c>
      <c r="CZ286">
        <v>11</v>
      </c>
      <c r="DA286">
        <v>1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1</v>
      </c>
      <c r="DH286">
        <v>2</v>
      </c>
      <c r="DI286">
        <v>1</v>
      </c>
      <c r="DJ286">
        <v>16</v>
      </c>
      <c r="DK286">
        <v>73</v>
      </c>
      <c r="DL286">
        <v>50</v>
      </c>
      <c r="DM286">
        <v>9</v>
      </c>
      <c r="DN286">
        <v>0</v>
      </c>
      <c r="DO286">
        <v>6</v>
      </c>
      <c r="DP286">
        <v>0</v>
      </c>
      <c r="DQ286">
        <v>2</v>
      </c>
      <c r="DR286">
        <v>0</v>
      </c>
      <c r="DS286">
        <v>1</v>
      </c>
      <c r="DT286">
        <v>3</v>
      </c>
      <c r="DU286">
        <v>2</v>
      </c>
      <c r="DV286">
        <v>73</v>
      </c>
      <c r="DW286">
        <v>38</v>
      </c>
      <c r="DX286">
        <v>35</v>
      </c>
      <c r="DY286">
        <v>0</v>
      </c>
      <c r="DZ286">
        <v>0</v>
      </c>
      <c r="EA286">
        <v>0</v>
      </c>
      <c r="EB286">
        <v>0</v>
      </c>
      <c r="EC286">
        <v>2</v>
      </c>
      <c r="ED286">
        <v>0</v>
      </c>
      <c r="EE286">
        <v>0</v>
      </c>
      <c r="EF286">
        <v>0</v>
      </c>
      <c r="EG286">
        <v>1</v>
      </c>
      <c r="EH286">
        <v>38</v>
      </c>
      <c r="EI286">
        <v>1</v>
      </c>
      <c r="EJ286">
        <v>1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1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</row>
    <row r="287" spans="1:172" ht="14.25">
      <c r="A287">
        <v>282</v>
      </c>
      <c r="B287" t="str">
        <f t="shared" si="56"/>
        <v>101709</v>
      </c>
      <c r="C287" t="str">
        <f t="shared" si="57"/>
        <v>Wieluń</v>
      </c>
      <c r="D287" t="str">
        <f t="shared" si="52"/>
        <v>wieluński</v>
      </c>
      <c r="E287" t="str">
        <f t="shared" si="55"/>
        <v>łódzkie</v>
      </c>
      <c r="F287">
        <v>13</v>
      </c>
      <c r="G287" t="str">
        <f>"I liceum Ogólnokształcące w Wieluniu, Nadodrzańska 4, 98-300 Wieluń"</f>
        <v>I liceum Ogólnokształcące w Wieluniu, Nadodrzańska 4, 98-300 Wieluń</v>
      </c>
      <c r="H287">
        <v>1201</v>
      </c>
      <c r="I287">
        <v>1201</v>
      </c>
      <c r="J287">
        <v>0</v>
      </c>
      <c r="K287">
        <v>849</v>
      </c>
      <c r="L287">
        <v>597</v>
      </c>
      <c r="M287">
        <v>252</v>
      </c>
      <c r="N287">
        <v>252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252</v>
      </c>
      <c r="Z287">
        <v>0</v>
      </c>
      <c r="AA287">
        <v>0</v>
      </c>
      <c r="AB287">
        <v>252</v>
      </c>
      <c r="AC287">
        <v>3</v>
      </c>
      <c r="AD287">
        <v>249</v>
      </c>
      <c r="AE287">
        <v>4</v>
      </c>
      <c r="AF287">
        <v>2</v>
      </c>
      <c r="AG287">
        <v>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1</v>
      </c>
      <c r="AP287">
        <v>4</v>
      </c>
      <c r="AQ287">
        <v>2</v>
      </c>
      <c r="AR287">
        <v>2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2</v>
      </c>
      <c r="BC287">
        <v>13</v>
      </c>
      <c r="BD287">
        <v>6</v>
      </c>
      <c r="BE287">
        <v>2</v>
      </c>
      <c r="BF287">
        <v>2</v>
      </c>
      <c r="BG287">
        <v>0</v>
      </c>
      <c r="BH287">
        <v>1</v>
      </c>
      <c r="BI287">
        <v>1</v>
      </c>
      <c r="BJ287">
        <v>0</v>
      </c>
      <c r="BK287">
        <v>0</v>
      </c>
      <c r="BL287">
        <v>0</v>
      </c>
      <c r="BM287">
        <v>1</v>
      </c>
      <c r="BN287">
        <v>13</v>
      </c>
      <c r="BO287">
        <v>80</v>
      </c>
      <c r="BP287">
        <v>69</v>
      </c>
      <c r="BQ287">
        <v>1</v>
      </c>
      <c r="BR287">
        <v>4</v>
      </c>
      <c r="BS287">
        <v>2</v>
      </c>
      <c r="BT287">
        <v>4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80</v>
      </c>
      <c r="CA287">
        <v>7</v>
      </c>
      <c r="CB287">
        <v>3</v>
      </c>
      <c r="CC287">
        <v>1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1</v>
      </c>
      <c r="CJ287">
        <v>1</v>
      </c>
      <c r="CK287">
        <v>1</v>
      </c>
      <c r="CL287">
        <v>7</v>
      </c>
      <c r="CM287">
        <v>7</v>
      </c>
      <c r="CN287">
        <v>1</v>
      </c>
      <c r="CO287">
        <v>0</v>
      </c>
      <c r="CP287">
        <v>1</v>
      </c>
      <c r="CQ287">
        <v>1</v>
      </c>
      <c r="CR287">
        <v>1</v>
      </c>
      <c r="CS287">
        <v>2</v>
      </c>
      <c r="CT287">
        <v>0</v>
      </c>
      <c r="CU287">
        <v>0</v>
      </c>
      <c r="CV287">
        <v>0</v>
      </c>
      <c r="CW287">
        <v>1</v>
      </c>
      <c r="CX287">
        <v>7</v>
      </c>
      <c r="CY287">
        <v>21</v>
      </c>
      <c r="CZ287">
        <v>13</v>
      </c>
      <c r="DA287">
        <v>1</v>
      </c>
      <c r="DB287">
        <v>0</v>
      </c>
      <c r="DC287">
        <v>2</v>
      </c>
      <c r="DD287">
        <v>0</v>
      </c>
      <c r="DE287">
        <v>1</v>
      </c>
      <c r="DF287">
        <v>1</v>
      </c>
      <c r="DG287">
        <v>1</v>
      </c>
      <c r="DH287">
        <v>1</v>
      </c>
      <c r="DI287">
        <v>1</v>
      </c>
      <c r="DJ287">
        <v>21</v>
      </c>
      <c r="DK287">
        <v>88</v>
      </c>
      <c r="DL287">
        <v>68</v>
      </c>
      <c r="DM287">
        <v>7</v>
      </c>
      <c r="DN287">
        <v>0</v>
      </c>
      <c r="DO287">
        <v>9</v>
      </c>
      <c r="DP287">
        <v>1</v>
      </c>
      <c r="DQ287">
        <v>0</v>
      </c>
      <c r="DR287">
        <v>0</v>
      </c>
      <c r="DS287">
        <v>1</v>
      </c>
      <c r="DT287">
        <v>1</v>
      </c>
      <c r="DU287">
        <v>1</v>
      </c>
      <c r="DV287">
        <v>88</v>
      </c>
      <c r="DW287">
        <v>25</v>
      </c>
      <c r="DX287">
        <v>24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25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1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1</v>
      </c>
      <c r="FD287">
        <v>1</v>
      </c>
      <c r="FE287">
        <v>1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1</v>
      </c>
      <c r="FN287">
        <v>0</v>
      </c>
      <c r="FO287">
        <v>0</v>
      </c>
      <c r="FP287">
        <v>1</v>
      </c>
    </row>
    <row r="288" spans="1:172" ht="14.25">
      <c r="A288">
        <v>283</v>
      </c>
      <c r="B288" t="str">
        <f t="shared" si="56"/>
        <v>101709</v>
      </c>
      <c r="C288" t="str">
        <f t="shared" si="57"/>
        <v>Wieluń</v>
      </c>
      <c r="D288" t="str">
        <f t="shared" si="52"/>
        <v>wieluński</v>
      </c>
      <c r="E288" t="str">
        <f t="shared" si="55"/>
        <v>łódzkie</v>
      </c>
      <c r="F288">
        <v>14</v>
      </c>
      <c r="G288" t="str">
        <f>"Spółdzielczy Dom Kultury w Wieluniu, Osiedle Wyszyńskiego 41, 98-300 Wieluń"</f>
        <v>Spółdzielczy Dom Kultury w Wieluniu, Osiedle Wyszyńskiego 41, 98-300 Wieluń</v>
      </c>
      <c r="H288">
        <v>1083</v>
      </c>
      <c r="I288">
        <v>1083</v>
      </c>
      <c r="J288">
        <v>0</v>
      </c>
      <c r="K288">
        <v>770</v>
      </c>
      <c r="L288">
        <v>517</v>
      </c>
      <c r="M288">
        <v>253</v>
      </c>
      <c r="N288">
        <v>253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253</v>
      </c>
      <c r="Z288">
        <v>0</v>
      </c>
      <c r="AA288">
        <v>0</v>
      </c>
      <c r="AB288">
        <v>253</v>
      </c>
      <c r="AC288">
        <v>11</v>
      </c>
      <c r="AD288">
        <v>242</v>
      </c>
      <c r="AE288">
        <v>1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1</v>
      </c>
      <c r="AN288">
        <v>0</v>
      </c>
      <c r="AO288">
        <v>0</v>
      </c>
      <c r="AP288">
        <v>1</v>
      </c>
      <c r="AQ288">
        <v>6</v>
      </c>
      <c r="AR288">
        <v>5</v>
      </c>
      <c r="AS288">
        <v>0</v>
      </c>
      <c r="AT288">
        <v>0</v>
      </c>
      <c r="AU288">
        <v>1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6</v>
      </c>
      <c r="BC288">
        <v>15</v>
      </c>
      <c r="BD288">
        <v>8</v>
      </c>
      <c r="BE288">
        <v>3</v>
      </c>
      <c r="BF288">
        <v>2</v>
      </c>
      <c r="BG288">
        <v>0</v>
      </c>
      <c r="BH288">
        <v>1</v>
      </c>
      <c r="BI288">
        <v>1</v>
      </c>
      <c r="BJ288">
        <v>0</v>
      </c>
      <c r="BK288">
        <v>0</v>
      </c>
      <c r="BL288">
        <v>0</v>
      </c>
      <c r="BM288">
        <v>0</v>
      </c>
      <c r="BN288">
        <v>15</v>
      </c>
      <c r="BO288">
        <v>84</v>
      </c>
      <c r="BP288">
        <v>68</v>
      </c>
      <c r="BQ288">
        <v>2</v>
      </c>
      <c r="BR288">
        <v>3</v>
      </c>
      <c r="BS288">
        <v>6</v>
      </c>
      <c r="BT288">
        <v>0</v>
      </c>
      <c r="BU288">
        <v>0</v>
      </c>
      <c r="BV288">
        <v>1</v>
      </c>
      <c r="BW288">
        <v>0</v>
      </c>
      <c r="BX288">
        <v>2</v>
      </c>
      <c r="BY288">
        <v>2</v>
      </c>
      <c r="BZ288">
        <v>84</v>
      </c>
      <c r="CA288">
        <v>6</v>
      </c>
      <c r="CB288">
        <v>4</v>
      </c>
      <c r="CC288">
        <v>1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1</v>
      </c>
      <c r="CJ288">
        <v>0</v>
      </c>
      <c r="CK288">
        <v>0</v>
      </c>
      <c r="CL288">
        <v>6</v>
      </c>
      <c r="CM288">
        <v>4</v>
      </c>
      <c r="CN288">
        <v>0</v>
      </c>
      <c r="CO288">
        <v>2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1</v>
      </c>
      <c r="CV288">
        <v>0</v>
      </c>
      <c r="CW288">
        <v>1</v>
      </c>
      <c r="CX288">
        <v>4</v>
      </c>
      <c r="CY288">
        <v>24</v>
      </c>
      <c r="CZ288">
        <v>19</v>
      </c>
      <c r="DA288">
        <v>0</v>
      </c>
      <c r="DB288">
        <v>0</v>
      </c>
      <c r="DC288">
        <v>1</v>
      </c>
      <c r="DD288">
        <v>0</v>
      </c>
      <c r="DE288">
        <v>0</v>
      </c>
      <c r="DF288">
        <v>1</v>
      </c>
      <c r="DG288">
        <v>1</v>
      </c>
      <c r="DH288">
        <v>1</v>
      </c>
      <c r="DI288">
        <v>1</v>
      </c>
      <c r="DJ288">
        <v>24</v>
      </c>
      <c r="DK288">
        <v>71</v>
      </c>
      <c r="DL288">
        <v>51</v>
      </c>
      <c r="DM288">
        <v>13</v>
      </c>
      <c r="DN288">
        <v>1</v>
      </c>
      <c r="DO288">
        <v>5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1</v>
      </c>
      <c r="DV288">
        <v>71</v>
      </c>
      <c r="DW288">
        <v>25</v>
      </c>
      <c r="DX288">
        <v>21</v>
      </c>
      <c r="DY288">
        <v>1</v>
      </c>
      <c r="DZ288">
        <v>0</v>
      </c>
      <c r="EA288">
        <v>0</v>
      </c>
      <c r="EB288">
        <v>0</v>
      </c>
      <c r="EC288">
        <v>1</v>
      </c>
      <c r="ED288">
        <v>1</v>
      </c>
      <c r="EE288">
        <v>0</v>
      </c>
      <c r="EF288">
        <v>0</v>
      </c>
      <c r="EG288">
        <v>1</v>
      </c>
      <c r="EH288">
        <v>25</v>
      </c>
      <c r="EI288">
        <v>5</v>
      </c>
      <c r="EJ288">
        <v>1</v>
      </c>
      <c r="EK288">
        <v>4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5</v>
      </c>
      <c r="ES288">
        <v>1</v>
      </c>
      <c r="ET288">
        <v>1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1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</row>
    <row r="289" spans="1:172" ht="14.25">
      <c r="A289">
        <v>284</v>
      </c>
      <c r="B289" t="str">
        <f t="shared" si="56"/>
        <v>101709</v>
      </c>
      <c r="C289" t="str">
        <f t="shared" si="57"/>
        <v>Wieluń</v>
      </c>
      <c r="D289" t="str">
        <f t="shared" si="52"/>
        <v>wieluński</v>
      </c>
      <c r="E289" t="str">
        <f t="shared" si="55"/>
        <v>łódzkie</v>
      </c>
      <c r="F289">
        <v>15</v>
      </c>
      <c r="G289" t="str">
        <f>"Pawilon WSM w Wieluniu, Sadowa 13a, 98-300 Wieluń"</f>
        <v>Pawilon WSM w Wieluniu, Sadowa 13a, 98-300 Wieluń</v>
      </c>
      <c r="H289">
        <v>1232</v>
      </c>
      <c r="I289">
        <v>1232</v>
      </c>
      <c r="J289">
        <v>0</v>
      </c>
      <c r="K289">
        <v>868</v>
      </c>
      <c r="L289">
        <v>593</v>
      </c>
      <c r="M289">
        <v>275</v>
      </c>
      <c r="N289">
        <v>275</v>
      </c>
      <c r="O289">
        <v>0</v>
      </c>
      <c r="P289">
        <v>0</v>
      </c>
      <c r="Q289">
        <v>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275</v>
      </c>
      <c r="Z289">
        <v>0</v>
      </c>
      <c r="AA289">
        <v>0</v>
      </c>
      <c r="AB289">
        <v>275</v>
      </c>
      <c r="AC289">
        <v>3</v>
      </c>
      <c r="AD289">
        <v>272</v>
      </c>
      <c r="AE289">
        <v>4</v>
      </c>
      <c r="AF289">
        <v>3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1</v>
      </c>
      <c r="AN289">
        <v>0</v>
      </c>
      <c r="AO289">
        <v>0</v>
      </c>
      <c r="AP289">
        <v>4</v>
      </c>
      <c r="AQ289">
        <v>2</v>
      </c>
      <c r="AR289">
        <v>1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1</v>
      </c>
      <c r="BB289">
        <v>2</v>
      </c>
      <c r="BC289">
        <v>26</v>
      </c>
      <c r="BD289">
        <v>15</v>
      </c>
      <c r="BE289">
        <v>2</v>
      </c>
      <c r="BF289">
        <v>3</v>
      </c>
      <c r="BG289">
        <v>1</v>
      </c>
      <c r="BH289">
        <v>0</v>
      </c>
      <c r="BI289">
        <v>0</v>
      </c>
      <c r="BJ289">
        <v>0</v>
      </c>
      <c r="BK289">
        <v>0</v>
      </c>
      <c r="BL289">
        <v>1</v>
      </c>
      <c r="BM289">
        <v>4</v>
      </c>
      <c r="BN289">
        <v>26</v>
      </c>
      <c r="BO289">
        <v>93</v>
      </c>
      <c r="BP289">
        <v>79</v>
      </c>
      <c r="BQ289">
        <v>3</v>
      </c>
      <c r="BR289">
        <v>1</v>
      </c>
      <c r="BS289">
        <v>8</v>
      </c>
      <c r="BT289">
        <v>0</v>
      </c>
      <c r="BU289">
        <v>0</v>
      </c>
      <c r="BV289">
        <v>0</v>
      </c>
      <c r="BW289">
        <v>1</v>
      </c>
      <c r="BX289">
        <v>0</v>
      </c>
      <c r="BY289">
        <v>1</v>
      </c>
      <c r="BZ289">
        <v>93</v>
      </c>
      <c r="CA289">
        <v>9</v>
      </c>
      <c r="CB289">
        <v>4</v>
      </c>
      <c r="CC289">
        <v>3</v>
      </c>
      <c r="CD289">
        <v>1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1</v>
      </c>
      <c r="CL289">
        <v>9</v>
      </c>
      <c r="CM289">
        <v>6</v>
      </c>
      <c r="CN289">
        <v>2</v>
      </c>
      <c r="CO289">
        <v>0</v>
      </c>
      <c r="CP289">
        <v>0</v>
      </c>
      <c r="CQ289">
        <v>0</v>
      </c>
      <c r="CR289">
        <v>1</v>
      </c>
      <c r="CS289">
        <v>3</v>
      </c>
      <c r="CT289">
        <v>0</v>
      </c>
      <c r="CU289">
        <v>0</v>
      </c>
      <c r="CV289">
        <v>0</v>
      </c>
      <c r="CW289">
        <v>0</v>
      </c>
      <c r="CX289">
        <v>6</v>
      </c>
      <c r="CY289">
        <v>19</v>
      </c>
      <c r="CZ289">
        <v>11</v>
      </c>
      <c r="DA289">
        <v>3</v>
      </c>
      <c r="DB289">
        <v>2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1</v>
      </c>
      <c r="DI289">
        <v>1</v>
      </c>
      <c r="DJ289">
        <v>19</v>
      </c>
      <c r="DK289">
        <v>68</v>
      </c>
      <c r="DL289">
        <v>43</v>
      </c>
      <c r="DM289">
        <v>15</v>
      </c>
      <c r="DN289">
        <v>0</v>
      </c>
      <c r="DO289">
        <v>2</v>
      </c>
      <c r="DP289">
        <v>0</v>
      </c>
      <c r="DQ289">
        <v>0</v>
      </c>
      <c r="DR289">
        <v>1</v>
      </c>
      <c r="DS289">
        <v>3</v>
      </c>
      <c r="DT289">
        <v>1</v>
      </c>
      <c r="DU289">
        <v>3</v>
      </c>
      <c r="DV289">
        <v>68</v>
      </c>
      <c r="DW289">
        <v>43</v>
      </c>
      <c r="DX289">
        <v>39</v>
      </c>
      <c r="DY289">
        <v>1</v>
      </c>
      <c r="DZ289">
        <v>0</v>
      </c>
      <c r="EA289">
        <v>0</v>
      </c>
      <c r="EB289">
        <v>0</v>
      </c>
      <c r="EC289">
        <v>1</v>
      </c>
      <c r="ED289">
        <v>2</v>
      </c>
      <c r="EE289">
        <v>0</v>
      </c>
      <c r="EF289">
        <v>0</v>
      </c>
      <c r="EG289">
        <v>0</v>
      </c>
      <c r="EH289">
        <v>43</v>
      </c>
      <c r="EI289">
        <v>2</v>
      </c>
      <c r="EJ289">
        <v>1</v>
      </c>
      <c r="EK289">
        <v>1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2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</row>
    <row r="290" spans="1:172" ht="14.25">
      <c r="A290">
        <v>285</v>
      </c>
      <c r="B290" t="str">
        <f t="shared" si="56"/>
        <v>101709</v>
      </c>
      <c r="C290" t="str">
        <f t="shared" si="57"/>
        <v>Wieluń</v>
      </c>
      <c r="D290" t="str">
        <f t="shared" si="52"/>
        <v>wieluński</v>
      </c>
      <c r="E290" t="str">
        <f t="shared" si="55"/>
        <v>łódzkie</v>
      </c>
      <c r="F290">
        <v>16</v>
      </c>
      <c r="G290" t="str">
        <f>"Filia Biblioteczna MGBP w Dąbrowie, Św.Wawrzyńca 1, Dąbrowa, 98-300 Wieluń"</f>
        <v>Filia Biblioteczna MGBP w Dąbrowie, Św.Wawrzyńca 1, Dąbrowa, 98-300 Wieluń</v>
      </c>
      <c r="H290">
        <v>998</v>
      </c>
      <c r="I290">
        <v>998</v>
      </c>
      <c r="J290">
        <v>0</v>
      </c>
      <c r="K290">
        <v>688</v>
      </c>
      <c r="L290">
        <v>440</v>
      </c>
      <c r="M290">
        <v>248</v>
      </c>
      <c r="N290">
        <v>248</v>
      </c>
      <c r="O290">
        <v>0</v>
      </c>
      <c r="P290">
        <v>1</v>
      </c>
      <c r="Q290">
        <v>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248</v>
      </c>
      <c r="Z290">
        <v>0</v>
      </c>
      <c r="AA290">
        <v>0</v>
      </c>
      <c r="AB290">
        <v>248</v>
      </c>
      <c r="AC290">
        <v>6</v>
      </c>
      <c r="AD290">
        <v>242</v>
      </c>
      <c r="AE290">
        <v>9</v>
      </c>
      <c r="AF290">
        <v>3</v>
      </c>
      <c r="AG290">
        <v>1</v>
      </c>
      <c r="AH290">
        <v>0</v>
      </c>
      <c r="AI290">
        <v>0</v>
      </c>
      <c r="AJ290">
        <v>1</v>
      </c>
      <c r="AK290">
        <v>1</v>
      </c>
      <c r="AL290">
        <v>0</v>
      </c>
      <c r="AM290">
        <v>1</v>
      </c>
      <c r="AN290">
        <v>1</v>
      </c>
      <c r="AO290">
        <v>1</v>
      </c>
      <c r="AP290">
        <v>9</v>
      </c>
      <c r="AQ290">
        <v>3</v>
      </c>
      <c r="AR290">
        <v>2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1</v>
      </c>
      <c r="AZ290">
        <v>0</v>
      </c>
      <c r="BA290">
        <v>0</v>
      </c>
      <c r="BB290">
        <v>3</v>
      </c>
      <c r="BC290">
        <v>10</v>
      </c>
      <c r="BD290">
        <v>3</v>
      </c>
      <c r="BE290">
        <v>0</v>
      </c>
      <c r="BF290">
        <v>3</v>
      </c>
      <c r="BG290">
        <v>0</v>
      </c>
      <c r="BH290">
        <v>2</v>
      </c>
      <c r="BI290">
        <v>0</v>
      </c>
      <c r="BJ290">
        <v>1</v>
      </c>
      <c r="BK290">
        <v>0</v>
      </c>
      <c r="BL290">
        <v>0</v>
      </c>
      <c r="BM290">
        <v>1</v>
      </c>
      <c r="BN290">
        <v>10</v>
      </c>
      <c r="BO290">
        <v>104</v>
      </c>
      <c r="BP290">
        <v>89</v>
      </c>
      <c r="BQ290">
        <v>2</v>
      </c>
      <c r="BR290">
        <v>1</v>
      </c>
      <c r="BS290">
        <v>8</v>
      </c>
      <c r="BT290">
        <v>0</v>
      </c>
      <c r="BU290">
        <v>0</v>
      </c>
      <c r="BV290">
        <v>0</v>
      </c>
      <c r="BW290">
        <v>1</v>
      </c>
      <c r="BX290">
        <v>1</v>
      </c>
      <c r="BY290">
        <v>2</v>
      </c>
      <c r="BZ290">
        <v>104</v>
      </c>
      <c r="CA290">
        <v>4</v>
      </c>
      <c r="CB290">
        <v>1</v>
      </c>
      <c r="CC290">
        <v>0</v>
      </c>
      <c r="CD290">
        <v>0</v>
      </c>
      <c r="CE290">
        <v>2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1</v>
      </c>
      <c r="CL290">
        <v>4</v>
      </c>
      <c r="CM290">
        <v>4</v>
      </c>
      <c r="CN290">
        <v>4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4</v>
      </c>
      <c r="CY290">
        <v>20</v>
      </c>
      <c r="CZ290">
        <v>14</v>
      </c>
      <c r="DA290">
        <v>0</v>
      </c>
      <c r="DB290">
        <v>0</v>
      </c>
      <c r="DC290">
        <v>2</v>
      </c>
      <c r="DD290">
        <v>0</v>
      </c>
      <c r="DE290">
        <v>1</v>
      </c>
      <c r="DF290">
        <v>1</v>
      </c>
      <c r="DG290">
        <v>0</v>
      </c>
      <c r="DH290">
        <v>1</v>
      </c>
      <c r="DI290">
        <v>1</v>
      </c>
      <c r="DJ290">
        <v>20</v>
      </c>
      <c r="DK290">
        <v>57</v>
      </c>
      <c r="DL290">
        <v>44</v>
      </c>
      <c r="DM290">
        <v>2</v>
      </c>
      <c r="DN290">
        <v>1</v>
      </c>
      <c r="DO290">
        <v>6</v>
      </c>
      <c r="DP290">
        <v>0</v>
      </c>
      <c r="DQ290">
        <v>1</v>
      </c>
      <c r="DR290">
        <v>0</v>
      </c>
      <c r="DS290">
        <v>0</v>
      </c>
      <c r="DT290">
        <v>0</v>
      </c>
      <c r="DU290">
        <v>3</v>
      </c>
      <c r="DV290">
        <v>57</v>
      </c>
      <c r="DW290">
        <v>24</v>
      </c>
      <c r="DX290">
        <v>19</v>
      </c>
      <c r="DY290">
        <v>1</v>
      </c>
      <c r="DZ290">
        <v>0</v>
      </c>
      <c r="EA290">
        <v>0</v>
      </c>
      <c r="EB290">
        <v>0</v>
      </c>
      <c r="EC290">
        <v>0</v>
      </c>
      <c r="ED290">
        <v>1</v>
      </c>
      <c r="EE290">
        <v>0</v>
      </c>
      <c r="EF290">
        <v>1</v>
      </c>
      <c r="EG290">
        <v>2</v>
      </c>
      <c r="EH290">
        <v>24</v>
      </c>
      <c r="EI290">
        <v>5</v>
      </c>
      <c r="EJ290">
        <v>0</v>
      </c>
      <c r="EK290">
        <v>5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5</v>
      </c>
      <c r="ES290">
        <v>1</v>
      </c>
      <c r="ET290">
        <v>1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1</v>
      </c>
      <c r="FE290">
        <v>1</v>
      </c>
      <c r="FF290">
        <v>0</v>
      </c>
      <c r="FG290">
        <v>0</v>
      </c>
      <c r="FH290">
        <v>0</v>
      </c>
      <c r="FI290">
        <v>0</v>
      </c>
      <c r="FJ290">
        <v>1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1</v>
      </c>
    </row>
    <row r="291" spans="1:172" ht="14.25">
      <c r="A291">
        <v>286</v>
      </c>
      <c r="B291" t="str">
        <f t="shared" si="56"/>
        <v>101709</v>
      </c>
      <c r="C291" t="str">
        <f t="shared" si="57"/>
        <v>Wieluń</v>
      </c>
      <c r="D291" t="str">
        <f aca="true" t="shared" si="58" ref="D291:D305">"wieluński"</f>
        <v>wieluński</v>
      </c>
      <c r="E291" t="str">
        <f t="shared" si="55"/>
        <v>łódzkie</v>
      </c>
      <c r="F291">
        <v>17</v>
      </c>
      <c r="G291" t="str">
        <f>"Szkoła Podstawowa w Kurowie, Wieluńska 11, Kurów, 98-300 Wieluń"</f>
        <v>Szkoła Podstawowa w Kurowie, Wieluńska 11, Kurów, 98-300 Wieluń</v>
      </c>
      <c r="H291">
        <v>691</v>
      </c>
      <c r="I291">
        <v>691</v>
      </c>
      <c r="J291">
        <v>0</v>
      </c>
      <c r="K291">
        <v>490</v>
      </c>
      <c r="L291">
        <v>304</v>
      </c>
      <c r="M291">
        <v>186</v>
      </c>
      <c r="N291">
        <v>186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186</v>
      </c>
      <c r="Z291">
        <v>0</v>
      </c>
      <c r="AA291">
        <v>0</v>
      </c>
      <c r="AB291">
        <v>186</v>
      </c>
      <c r="AC291">
        <v>10</v>
      </c>
      <c r="AD291">
        <v>176</v>
      </c>
      <c r="AE291">
        <v>4</v>
      </c>
      <c r="AF291">
        <v>0</v>
      </c>
      <c r="AG291">
        <v>1</v>
      </c>
      <c r="AH291">
        <v>0</v>
      </c>
      <c r="AI291">
        <v>1</v>
      </c>
      <c r="AJ291">
        <v>0</v>
      </c>
      <c r="AK291">
        <v>0</v>
      </c>
      <c r="AL291">
        <v>0</v>
      </c>
      <c r="AM291">
        <v>1</v>
      </c>
      <c r="AN291">
        <v>1</v>
      </c>
      <c r="AO291">
        <v>0</v>
      </c>
      <c r="AP291">
        <v>4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4</v>
      </c>
      <c r="BD291">
        <v>2</v>
      </c>
      <c r="BE291">
        <v>0</v>
      </c>
      <c r="BF291">
        <v>0</v>
      </c>
      <c r="BG291">
        <v>0</v>
      </c>
      <c r="BH291">
        <v>1</v>
      </c>
      <c r="BI291">
        <v>0</v>
      </c>
      <c r="BJ291">
        <v>0</v>
      </c>
      <c r="BK291">
        <v>0</v>
      </c>
      <c r="BL291">
        <v>1</v>
      </c>
      <c r="BM291">
        <v>0</v>
      </c>
      <c r="BN291">
        <v>4</v>
      </c>
      <c r="BO291">
        <v>102</v>
      </c>
      <c r="BP291">
        <v>96</v>
      </c>
      <c r="BQ291">
        <v>3</v>
      </c>
      <c r="BR291">
        <v>0</v>
      </c>
      <c r="BS291">
        <v>2</v>
      </c>
      <c r="BT291">
        <v>0</v>
      </c>
      <c r="BU291">
        <v>1</v>
      </c>
      <c r="BV291">
        <v>0</v>
      </c>
      <c r="BW291">
        <v>0</v>
      </c>
      <c r="BX291">
        <v>0</v>
      </c>
      <c r="BY291">
        <v>0</v>
      </c>
      <c r="BZ291">
        <v>102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2</v>
      </c>
      <c r="CN291">
        <v>2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2</v>
      </c>
      <c r="CY291">
        <v>19</v>
      </c>
      <c r="CZ291">
        <v>16</v>
      </c>
      <c r="DA291">
        <v>1</v>
      </c>
      <c r="DB291">
        <v>1</v>
      </c>
      <c r="DC291">
        <v>1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19</v>
      </c>
      <c r="DK291">
        <v>12</v>
      </c>
      <c r="DL291">
        <v>8</v>
      </c>
      <c r="DM291">
        <v>2</v>
      </c>
      <c r="DN291">
        <v>0</v>
      </c>
      <c r="DO291">
        <v>0</v>
      </c>
      <c r="DP291">
        <v>0</v>
      </c>
      <c r="DQ291">
        <v>0</v>
      </c>
      <c r="DR291">
        <v>1</v>
      </c>
      <c r="DS291">
        <v>0</v>
      </c>
      <c r="DT291">
        <v>1</v>
      </c>
      <c r="DU291">
        <v>0</v>
      </c>
      <c r="DV291">
        <v>12</v>
      </c>
      <c r="DW291">
        <v>30</v>
      </c>
      <c r="DX291">
        <v>20</v>
      </c>
      <c r="DY291">
        <v>1</v>
      </c>
      <c r="DZ291">
        <v>0</v>
      </c>
      <c r="EA291">
        <v>0</v>
      </c>
      <c r="EB291">
        <v>0</v>
      </c>
      <c r="EC291">
        <v>0</v>
      </c>
      <c r="ED291">
        <v>2</v>
      </c>
      <c r="EE291">
        <v>7</v>
      </c>
      <c r="EF291">
        <v>0</v>
      </c>
      <c r="EG291">
        <v>0</v>
      </c>
      <c r="EH291">
        <v>30</v>
      </c>
      <c r="EI291">
        <v>1</v>
      </c>
      <c r="EJ291">
        <v>0</v>
      </c>
      <c r="EK291">
        <v>1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1</v>
      </c>
      <c r="ES291">
        <v>2</v>
      </c>
      <c r="ET291">
        <v>1</v>
      </c>
      <c r="EU291">
        <v>0</v>
      </c>
      <c r="EV291">
        <v>0</v>
      </c>
      <c r="EW291">
        <v>1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2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</row>
    <row r="292" spans="1:172" ht="14.25">
      <c r="A292">
        <v>287</v>
      </c>
      <c r="B292" t="str">
        <f t="shared" si="56"/>
        <v>101709</v>
      </c>
      <c r="C292" t="str">
        <f t="shared" si="57"/>
        <v>Wieluń</v>
      </c>
      <c r="D292" t="str">
        <f t="shared" si="58"/>
        <v>wieluński</v>
      </c>
      <c r="E292" t="str">
        <f t="shared" si="55"/>
        <v>łódzkie</v>
      </c>
      <c r="F292">
        <v>18</v>
      </c>
      <c r="G292" t="str">
        <f>"Publiczne Przedszkole w Turowie, Turów 13, 98-300 Wieluń"</f>
        <v>Publiczne Przedszkole w Turowie, Turów 13, 98-300 Wieluń</v>
      </c>
      <c r="H292">
        <v>679</v>
      </c>
      <c r="I292">
        <v>679</v>
      </c>
      <c r="J292">
        <v>0</v>
      </c>
      <c r="K292">
        <v>480</v>
      </c>
      <c r="L292">
        <v>347</v>
      </c>
      <c r="M292">
        <v>133</v>
      </c>
      <c r="N292">
        <v>133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133</v>
      </c>
      <c r="Z292">
        <v>0</v>
      </c>
      <c r="AA292">
        <v>0</v>
      </c>
      <c r="AB292">
        <v>133</v>
      </c>
      <c r="AC292">
        <v>6</v>
      </c>
      <c r="AD292">
        <v>127</v>
      </c>
      <c r="AE292">
        <v>2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2</v>
      </c>
      <c r="AN292">
        <v>0</v>
      </c>
      <c r="AO292">
        <v>0</v>
      </c>
      <c r="AP292">
        <v>2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6</v>
      </c>
      <c r="BD292">
        <v>4</v>
      </c>
      <c r="BE292">
        <v>0</v>
      </c>
      <c r="BF292">
        <v>1</v>
      </c>
      <c r="BG292">
        <v>0</v>
      </c>
      <c r="BH292">
        <v>0</v>
      </c>
      <c r="BI292">
        <v>0</v>
      </c>
      <c r="BJ292">
        <v>1</v>
      </c>
      <c r="BK292">
        <v>0</v>
      </c>
      <c r="BL292">
        <v>0</v>
      </c>
      <c r="BM292">
        <v>0</v>
      </c>
      <c r="BN292">
        <v>6</v>
      </c>
      <c r="BO292">
        <v>71</v>
      </c>
      <c r="BP292">
        <v>68</v>
      </c>
      <c r="BQ292">
        <v>1</v>
      </c>
      <c r="BR292">
        <v>0</v>
      </c>
      <c r="BS292">
        <v>1</v>
      </c>
      <c r="BT292">
        <v>0</v>
      </c>
      <c r="BU292">
        <v>0</v>
      </c>
      <c r="BV292">
        <v>1</v>
      </c>
      <c r="BW292">
        <v>0</v>
      </c>
      <c r="BX292">
        <v>0</v>
      </c>
      <c r="BY292">
        <v>0</v>
      </c>
      <c r="BZ292">
        <v>71</v>
      </c>
      <c r="CA292">
        <v>2</v>
      </c>
      <c r="CB292">
        <v>1</v>
      </c>
      <c r="CC292">
        <v>0</v>
      </c>
      <c r="CD292">
        <v>1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2</v>
      </c>
      <c r="CM292">
        <v>2</v>
      </c>
      <c r="CN292">
        <v>1</v>
      </c>
      <c r="CO292">
        <v>0</v>
      </c>
      <c r="CP292">
        <v>0</v>
      </c>
      <c r="CQ292">
        <v>0</v>
      </c>
      <c r="CR292">
        <v>0</v>
      </c>
      <c r="CS292">
        <v>1</v>
      </c>
      <c r="CT292">
        <v>0</v>
      </c>
      <c r="CU292">
        <v>0</v>
      </c>
      <c r="CV292">
        <v>0</v>
      </c>
      <c r="CW292">
        <v>0</v>
      </c>
      <c r="CX292">
        <v>2</v>
      </c>
      <c r="CY292">
        <v>10</v>
      </c>
      <c r="CZ292">
        <v>7</v>
      </c>
      <c r="DA292">
        <v>0</v>
      </c>
      <c r="DB292">
        <v>0</v>
      </c>
      <c r="DC292">
        <v>1</v>
      </c>
      <c r="DD292">
        <v>0</v>
      </c>
      <c r="DE292">
        <v>1</v>
      </c>
      <c r="DF292">
        <v>1</v>
      </c>
      <c r="DG292">
        <v>0</v>
      </c>
      <c r="DH292">
        <v>0</v>
      </c>
      <c r="DI292">
        <v>0</v>
      </c>
      <c r="DJ292">
        <v>10</v>
      </c>
      <c r="DK292">
        <v>6</v>
      </c>
      <c r="DL292">
        <v>6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6</v>
      </c>
      <c r="DW292">
        <v>28</v>
      </c>
      <c r="DX292">
        <v>24</v>
      </c>
      <c r="DY292">
        <v>2</v>
      </c>
      <c r="DZ292">
        <v>0</v>
      </c>
      <c r="EA292">
        <v>0</v>
      </c>
      <c r="EB292">
        <v>0</v>
      </c>
      <c r="EC292">
        <v>0</v>
      </c>
      <c r="ED292">
        <v>2</v>
      </c>
      <c r="EE292">
        <v>0</v>
      </c>
      <c r="EF292">
        <v>0</v>
      </c>
      <c r="EG292">
        <v>0</v>
      </c>
      <c r="EH292">
        <v>28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</row>
    <row r="293" spans="1:172" ht="14.25">
      <c r="A293">
        <v>288</v>
      </c>
      <c r="B293" t="str">
        <f t="shared" si="56"/>
        <v>101709</v>
      </c>
      <c r="C293" t="str">
        <f t="shared" si="57"/>
        <v>Wieluń</v>
      </c>
      <c r="D293" t="str">
        <f t="shared" si="58"/>
        <v>wieluński</v>
      </c>
      <c r="E293" t="str">
        <f t="shared" si="55"/>
        <v>łódzkie</v>
      </c>
      <c r="F293">
        <v>19</v>
      </c>
      <c r="G293" t="str">
        <f>"Szkoła Podstawowa w Masłowicach, Masłowice 1, 98-300 Wieluń"</f>
        <v>Szkoła Podstawowa w Masłowicach, Masłowice 1, 98-300 Wieluń</v>
      </c>
      <c r="H293">
        <v>1257</v>
      </c>
      <c r="I293">
        <v>1257</v>
      </c>
      <c r="J293">
        <v>0</v>
      </c>
      <c r="K293">
        <v>891</v>
      </c>
      <c r="L293">
        <v>731</v>
      </c>
      <c r="M293">
        <v>160</v>
      </c>
      <c r="N293">
        <v>160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160</v>
      </c>
      <c r="Z293">
        <v>0</v>
      </c>
      <c r="AA293">
        <v>0</v>
      </c>
      <c r="AB293">
        <v>160</v>
      </c>
      <c r="AC293">
        <v>5</v>
      </c>
      <c r="AD293">
        <v>155</v>
      </c>
      <c r="AE293">
        <v>2</v>
      </c>
      <c r="AF293">
        <v>2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2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14</v>
      </c>
      <c r="BD293">
        <v>13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1</v>
      </c>
      <c r="BL293">
        <v>0</v>
      </c>
      <c r="BM293">
        <v>0</v>
      </c>
      <c r="BN293">
        <v>14</v>
      </c>
      <c r="BO293">
        <v>58</v>
      </c>
      <c r="BP293">
        <v>52</v>
      </c>
      <c r="BQ293">
        <v>1</v>
      </c>
      <c r="BR293">
        <v>0</v>
      </c>
      <c r="BS293">
        <v>4</v>
      </c>
      <c r="BT293">
        <v>0</v>
      </c>
      <c r="BU293">
        <v>0</v>
      </c>
      <c r="BV293">
        <v>0</v>
      </c>
      <c r="BW293">
        <v>0</v>
      </c>
      <c r="BX293">
        <v>1</v>
      </c>
      <c r="BY293">
        <v>0</v>
      </c>
      <c r="BZ293">
        <v>58</v>
      </c>
      <c r="CA293">
        <v>4</v>
      </c>
      <c r="CB293">
        <v>2</v>
      </c>
      <c r="CC293">
        <v>0</v>
      </c>
      <c r="CD293">
        <v>2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4</v>
      </c>
      <c r="CM293">
        <v>4</v>
      </c>
      <c r="CN293">
        <v>1</v>
      </c>
      <c r="CO293">
        <v>0</v>
      </c>
      <c r="CP293">
        <v>0</v>
      </c>
      <c r="CQ293">
        <v>1</v>
      </c>
      <c r="CR293">
        <v>0</v>
      </c>
      <c r="CS293">
        <v>2</v>
      </c>
      <c r="CT293">
        <v>0</v>
      </c>
      <c r="CU293">
        <v>0</v>
      </c>
      <c r="CV293">
        <v>0</v>
      </c>
      <c r="CW293">
        <v>0</v>
      </c>
      <c r="CX293">
        <v>4</v>
      </c>
      <c r="CY293">
        <v>4</v>
      </c>
      <c r="CZ293">
        <v>2</v>
      </c>
      <c r="DA293">
        <v>0</v>
      </c>
      <c r="DB293">
        <v>0</v>
      </c>
      <c r="DC293">
        <v>0</v>
      </c>
      <c r="DD293">
        <v>1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4</v>
      </c>
      <c r="DK293">
        <v>25</v>
      </c>
      <c r="DL293">
        <v>14</v>
      </c>
      <c r="DM293">
        <v>8</v>
      </c>
      <c r="DN293">
        <v>0</v>
      </c>
      <c r="DO293">
        <v>3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25</v>
      </c>
      <c r="DW293">
        <v>41</v>
      </c>
      <c r="DX293">
        <v>33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8</v>
      </c>
      <c r="EE293">
        <v>0</v>
      </c>
      <c r="EF293">
        <v>0</v>
      </c>
      <c r="EG293">
        <v>0</v>
      </c>
      <c r="EH293">
        <v>41</v>
      </c>
      <c r="EI293">
        <v>1</v>
      </c>
      <c r="EJ293">
        <v>0</v>
      </c>
      <c r="EK293">
        <v>1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1</v>
      </c>
      <c r="ES293">
        <v>1</v>
      </c>
      <c r="ET293">
        <v>1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1</v>
      </c>
      <c r="FE293">
        <v>1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1</v>
      </c>
      <c r="FN293">
        <v>0</v>
      </c>
      <c r="FO293">
        <v>0</v>
      </c>
      <c r="FP293">
        <v>1</v>
      </c>
    </row>
    <row r="294" spans="1:172" ht="14.25">
      <c r="A294">
        <v>289</v>
      </c>
      <c r="B294" t="str">
        <f t="shared" si="56"/>
        <v>101709</v>
      </c>
      <c r="C294" t="str">
        <f t="shared" si="57"/>
        <v>Wieluń</v>
      </c>
      <c r="D294" t="str">
        <f t="shared" si="58"/>
        <v>wieluński</v>
      </c>
      <c r="E294" t="str">
        <f t="shared" si="55"/>
        <v>łódzkie</v>
      </c>
      <c r="F294">
        <v>20</v>
      </c>
      <c r="G294" t="str">
        <f>"Szkoła Podstawowa w Sieńcu, Sieniec 81b, 98-300 Wieluń"</f>
        <v>Szkoła Podstawowa w Sieńcu, Sieniec 81b, 98-300 Wieluń</v>
      </c>
      <c r="H294">
        <v>923</v>
      </c>
      <c r="I294">
        <v>923</v>
      </c>
      <c r="J294">
        <v>0</v>
      </c>
      <c r="K294">
        <v>650</v>
      </c>
      <c r="L294">
        <v>506</v>
      </c>
      <c r="M294">
        <v>144</v>
      </c>
      <c r="N294">
        <v>144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144</v>
      </c>
      <c r="Z294">
        <v>0</v>
      </c>
      <c r="AA294">
        <v>0</v>
      </c>
      <c r="AB294">
        <v>144</v>
      </c>
      <c r="AC294">
        <v>1</v>
      </c>
      <c r="AD294">
        <v>143</v>
      </c>
      <c r="AE294">
        <v>3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1</v>
      </c>
      <c r="AN294">
        <v>2</v>
      </c>
      <c r="AO294">
        <v>0</v>
      </c>
      <c r="AP294">
        <v>3</v>
      </c>
      <c r="AQ294">
        <v>1</v>
      </c>
      <c r="AR294">
        <v>0</v>
      </c>
      <c r="AS294">
        <v>1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1</v>
      </c>
      <c r="BC294">
        <v>5</v>
      </c>
      <c r="BD294">
        <v>2</v>
      </c>
      <c r="BE294">
        <v>1</v>
      </c>
      <c r="BF294">
        <v>0</v>
      </c>
      <c r="BG294">
        <v>0</v>
      </c>
      <c r="BH294">
        <v>0</v>
      </c>
      <c r="BI294">
        <v>1</v>
      </c>
      <c r="BJ294">
        <v>0</v>
      </c>
      <c r="BK294">
        <v>0</v>
      </c>
      <c r="BL294">
        <v>0</v>
      </c>
      <c r="BM294">
        <v>1</v>
      </c>
      <c r="BN294">
        <v>5</v>
      </c>
      <c r="BO294">
        <v>61</v>
      </c>
      <c r="BP294">
        <v>56</v>
      </c>
      <c r="BQ294">
        <v>0</v>
      </c>
      <c r="BR294">
        <v>0</v>
      </c>
      <c r="BS294">
        <v>3</v>
      </c>
      <c r="BT294">
        <v>0</v>
      </c>
      <c r="BU294">
        <v>0</v>
      </c>
      <c r="BV294">
        <v>1</v>
      </c>
      <c r="BW294">
        <v>0</v>
      </c>
      <c r="BX294">
        <v>0</v>
      </c>
      <c r="BY294">
        <v>1</v>
      </c>
      <c r="BZ294">
        <v>61</v>
      </c>
      <c r="CA294">
        <v>8</v>
      </c>
      <c r="CB294">
        <v>2</v>
      </c>
      <c r="CC294">
        <v>1</v>
      </c>
      <c r="CD294">
        <v>0</v>
      </c>
      <c r="CE294">
        <v>0</v>
      </c>
      <c r="CF294">
        <v>2</v>
      </c>
      <c r="CG294">
        <v>0</v>
      </c>
      <c r="CH294">
        <v>0</v>
      </c>
      <c r="CI294">
        <v>2</v>
      </c>
      <c r="CJ294">
        <v>1</v>
      </c>
      <c r="CK294">
        <v>0</v>
      </c>
      <c r="CL294">
        <v>8</v>
      </c>
      <c r="CM294">
        <v>1</v>
      </c>
      <c r="CN294">
        <v>0</v>
      </c>
      <c r="CO294">
        <v>1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1</v>
      </c>
      <c r="CY294">
        <v>6</v>
      </c>
      <c r="CZ294">
        <v>3</v>
      </c>
      <c r="DA294">
        <v>1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0</v>
      </c>
      <c r="DH294">
        <v>1</v>
      </c>
      <c r="DI294">
        <v>0</v>
      </c>
      <c r="DJ294">
        <v>6</v>
      </c>
      <c r="DK294">
        <v>14</v>
      </c>
      <c r="DL294">
        <v>8</v>
      </c>
      <c r="DM294">
        <v>3</v>
      </c>
      <c r="DN294">
        <v>0</v>
      </c>
      <c r="DO294">
        <v>1</v>
      </c>
      <c r="DP294">
        <v>0</v>
      </c>
      <c r="DQ294">
        <v>2</v>
      </c>
      <c r="DR294">
        <v>0</v>
      </c>
      <c r="DS294">
        <v>0</v>
      </c>
      <c r="DT294">
        <v>0</v>
      </c>
      <c r="DU294">
        <v>0</v>
      </c>
      <c r="DV294">
        <v>14</v>
      </c>
      <c r="DW294">
        <v>42</v>
      </c>
      <c r="DX294">
        <v>37</v>
      </c>
      <c r="DY294">
        <v>1</v>
      </c>
      <c r="DZ294">
        <v>0</v>
      </c>
      <c r="EA294">
        <v>0</v>
      </c>
      <c r="EB294">
        <v>0</v>
      </c>
      <c r="EC294">
        <v>1</v>
      </c>
      <c r="ED294">
        <v>3</v>
      </c>
      <c r="EE294">
        <v>0</v>
      </c>
      <c r="EF294">
        <v>0</v>
      </c>
      <c r="EG294">
        <v>0</v>
      </c>
      <c r="EH294">
        <v>42</v>
      </c>
      <c r="EI294">
        <v>2</v>
      </c>
      <c r="EJ294">
        <v>0</v>
      </c>
      <c r="EK294">
        <v>2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2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</row>
    <row r="295" spans="1:172" ht="14.25">
      <c r="A295">
        <v>290</v>
      </c>
      <c r="B295" t="str">
        <f t="shared" si="56"/>
        <v>101709</v>
      </c>
      <c r="C295" t="str">
        <f t="shared" si="57"/>
        <v>Wieluń</v>
      </c>
      <c r="D295" t="str">
        <f t="shared" si="58"/>
        <v>wieluński</v>
      </c>
      <c r="E295" t="str">
        <f t="shared" si="55"/>
        <v>łódzkie</v>
      </c>
      <c r="F295">
        <v>21</v>
      </c>
      <c r="G295" t="str">
        <f>"Szkoła Podstawowa w Rudzie, Długa 31, Ruda, 98-300 Wieluń"</f>
        <v>Szkoła Podstawowa w Rudzie, Długa 31, Ruda, 98-300 Wieluń</v>
      </c>
      <c r="H295">
        <v>1483</v>
      </c>
      <c r="I295">
        <v>1483</v>
      </c>
      <c r="J295">
        <v>0</v>
      </c>
      <c r="K295">
        <v>1049</v>
      </c>
      <c r="L295">
        <v>796</v>
      </c>
      <c r="M295">
        <v>253</v>
      </c>
      <c r="N295">
        <v>253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253</v>
      </c>
      <c r="Z295">
        <v>0</v>
      </c>
      <c r="AA295">
        <v>0</v>
      </c>
      <c r="AB295">
        <v>253</v>
      </c>
      <c r="AC295">
        <v>11</v>
      </c>
      <c r="AD295">
        <v>242</v>
      </c>
      <c r="AE295">
        <v>2</v>
      </c>
      <c r="AF295">
        <v>1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1</v>
      </c>
      <c r="AO295">
        <v>0</v>
      </c>
      <c r="AP295">
        <v>2</v>
      </c>
      <c r="AQ295">
        <v>1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1</v>
      </c>
      <c r="BA295">
        <v>0</v>
      </c>
      <c r="BB295">
        <v>1</v>
      </c>
      <c r="BC295">
        <v>8</v>
      </c>
      <c r="BD295">
        <v>4</v>
      </c>
      <c r="BE295">
        <v>0</v>
      </c>
      <c r="BF295">
        <v>0</v>
      </c>
      <c r="BG295">
        <v>1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3</v>
      </c>
      <c r="BN295">
        <v>8</v>
      </c>
      <c r="BO295">
        <v>111</v>
      </c>
      <c r="BP295">
        <v>107</v>
      </c>
      <c r="BQ295">
        <v>0</v>
      </c>
      <c r="BR295">
        <v>0</v>
      </c>
      <c r="BS295">
        <v>2</v>
      </c>
      <c r="BT295">
        <v>0</v>
      </c>
      <c r="BU295">
        <v>0</v>
      </c>
      <c r="BV295">
        <v>1</v>
      </c>
      <c r="BW295">
        <v>0</v>
      </c>
      <c r="BX295">
        <v>1</v>
      </c>
      <c r="BY295">
        <v>0</v>
      </c>
      <c r="BZ295">
        <v>111</v>
      </c>
      <c r="CA295">
        <v>1</v>
      </c>
      <c r="CB295">
        <v>0</v>
      </c>
      <c r="CC295">
        <v>1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1</v>
      </c>
      <c r="CM295">
        <v>4</v>
      </c>
      <c r="CN295">
        <v>3</v>
      </c>
      <c r="CO295">
        <v>0</v>
      </c>
      <c r="CP295">
        <v>0</v>
      </c>
      <c r="CQ295">
        <v>1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4</v>
      </c>
      <c r="CY295">
        <v>13</v>
      </c>
      <c r="CZ295">
        <v>9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2</v>
      </c>
      <c r="DH295">
        <v>1</v>
      </c>
      <c r="DI295">
        <v>1</v>
      </c>
      <c r="DJ295">
        <v>13</v>
      </c>
      <c r="DK295">
        <v>48</v>
      </c>
      <c r="DL295">
        <v>38</v>
      </c>
      <c r="DM295">
        <v>5</v>
      </c>
      <c r="DN295">
        <v>0</v>
      </c>
      <c r="DO295">
        <v>2</v>
      </c>
      <c r="DP295">
        <v>0</v>
      </c>
      <c r="DQ295">
        <v>1</v>
      </c>
      <c r="DR295">
        <v>0</v>
      </c>
      <c r="DS295">
        <v>1</v>
      </c>
      <c r="DT295">
        <v>0</v>
      </c>
      <c r="DU295">
        <v>1</v>
      </c>
      <c r="DV295">
        <v>48</v>
      </c>
      <c r="DW295">
        <v>53</v>
      </c>
      <c r="DX295">
        <v>44</v>
      </c>
      <c r="DY295">
        <v>0</v>
      </c>
      <c r="DZ295">
        <v>0</v>
      </c>
      <c r="EA295">
        <v>0</v>
      </c>
      <c r="EB295">
        <v>2</v>
      </c>
      <c r="EC295">
        <v>3</v>
      </c>
      <c r="ED295">
        <v>2</v>
      </c>
      <c r="EE295">
        <v>1</v>
      </c>
      <c r="EF295">
        <v>1</v>
      </c>
      <c r="EG295">
        <v>0</v>
      </c>
      <c r="EH295">
        <v>53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1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1</v>
      </c>
      <c r="FM295">
        <v>0</v>
      </c>
      <c r="FN295">
        <v>0</v>
      </c>
      <c r="FO295">
        <v>0</v>
      </c>
      <c r="FP295">
        <v>1</v>
      </c>
    </row>
    <row r="296" spans="1:172" ht="14.25">
      <c r="A296">
        <v>291</v>
      </c>
      <c r="B296" t="str">
        <f t="shared" si="56"/>
        <v>101709</v>
      </c>
      <c r="C296" t="str">
        <f t="shared" si="57"/>
        <v>Wieluń</v>
      </c>
      <c r="D296" t="str">
        <f t="shared" si="58"/>
        <v>wieluński</v>
      </c>
      <c r="E296" t="str">
        <f t="shared" si="55"/>
        <v>łódzkie</v>
      </c>
      <c r="F296">
        <v>22</v>
      </c>
      <c r="G296" t="str">
        <f>"Szkoła Podstawowa w Gaszynie, Harcerska 1, Gaszyn, 98-300 Wieluń"</f>
        <v>Szkoła Podstawowa w Gaszynie, Harcerska 1, Gaszyn, 98-300 Wieluń</v>
      </c>
      <c r="H296">
        <v>731</v>
      </c>
      <c r="I296">
        <v>731</v>
      </c>
      <c r="J296">
        <v>0</v>
      </c>
      <c r="K296">
        <v>510</v>
      </c>
      <c r="L296">
        <v>360</v>
      </c>
      <c r="M296">
        <v>150</v>
      </c>
      <c r="N296">
        <v>150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150</v>
      </c>
      <c r="Z296">
        <v>0</v>
      </c>
      <c r="AA296">
        <v>0</v>
      </c>
      <c r="AB296">
        <v>150</v>
      </c>
      <c r="AC296">
        <v>3</v>
      </c>
      <c r="AD296">
        <v>147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4</v>
      </c>
      <c r="AR296">
        <v>3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1</v>
      </c>
      <c r="BB296">
        <v>4</v>
      </c>
      <c r="BC296">
        <v>14</v>
      </c>
      <c r="BD296">
        <v>8</v>
      </c>
      <c r="BE296">
        <v>1</v>
      </c>
      <c r="BF296">
        <v>1</v>
      </c>
      <c r="BG296">
        <v>1</v>
      </c>
      <c r="BH296">
        <v>2</v>
      </c>
      <c r="BI296">
        <v>0</v>
      </c>
      <c r="BJ296">
        <v>0</v>
      </c>
      <c r="BK296">
        <v>0</v>
      </c>
      <c r="BL296">
        <v>1</v>
      </c>
      <c r="BM296">
        <v>0</v>
      </c>
      <c r="BN296">
        <v>14</v>
      </c>
      <c r="BO296">
        <v>56</v>
      </c>
      <c r="BP296">
        <v>53</v>
      </c>
      <c r="BQ296">
        <v>1</v>
      </c>
      <c r="BR296">
        <v>0</v>
      </c>
      <c r="BS296">
        <v>2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56</v>
      </c>
      <c r="CA296">
        <v>1</v>
      </c>
      <c r="CB296">
        <v>1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1</v>
      </c>
      <c r="CM296">
        <v>1</v>
      </c>
      <c r="CN296">
        <v>0</v>
      </c>
      <c r="CO296">
        <v>1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17</v>
      </c>
      <c r="CZ296">
        <v>16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1</v>
      </c>
      <c r="DH296">
        <v>0</v>
      </c>
      <c r="DI296">
        <v>0</v>
      </c>
      <c r="DJ296">
        <v>17</v>
      </c>
      <c r="DK296">
        <v>37</v>
      </c>
      <c r="DL296">
        <v>21</v>
      </c>
      <c r="DM296">
        <v>6</v>
      </c>
      <c r="DN296">
        <v>0</v>
      </c>
      <c r="DO296">
        <v>7</v>
      </c>
      <c r="DP296">
        <v>0</v>
      </c>
      <c r="DQ296">
        <v>1</v>
      </c>
      <c r="DR296">
        <v>0</v>
      </c>
      <c r="DS296">
        <v>1</v>
      </c>
      <c r="DT296">
        <v>0</v>
      </c>
      <c r="DU296">
        <v>1</v>
      </c>
      <c r="DV296">
        <v>37</v>
      </c>
      <c r="DW296">
        <v>16</v>
      </c>
      <c r="DX296">
        <v>16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16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1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1</v>
      </c>
      <c r="FP296">
        <v>1</v>
      </c>
    </row>
    <row r="297" spans="1:172" ht="14.25">
      <c r="A297">
        <v>292</v>
      </c>
      <c r="B297" t="str">
        <f t="shared" si="56"/>
        <v>101709</v>
      </c>
      <c r="C297" t="str">
        <f t="shared" si="57"/>
        <v>Wieluń</v>
      </c>
      <c r="D297" t="str">
        <f t="shared" si="58"/>
        <v>wieluński</v>
      </c>
      <c r="E297" t="str">
        <f t="shared" si="55"/>
        <v>łódzkie</v>
      </c>
      <c r="F297">
        <v>23</v>
      </c>
      <c r="G297" t="str">
        <f>"Publiczna Szkoła Podstawowa SPSK w Kadłubie, Kadłub 91, 98-300 Wieluń"</f>
        <v>Publiczna Szkoła Podstawowa SPSK w Kadłubie, Kadłub 91, 98-300 Wieluń</v>
      </c>
      <c r="H297">
        <v>449</v>
      </c>
      <c r="I297">
        <v>449</v>
      </c>
      <c r="J297">
        <v>0</v>
      </c>
      <c r="K297">
        <v>320</v>
      </c>
      <c r="L297">
        <v>192</v>
      </c>
      <c r="M297">
        <v>128</v>
      </c>
      <c r="N297">
        <v>128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128</v>
      </c>
      <c r="Z297">
        <v>0</v>
      </c>
      <c r="AA297">
        <v>0</v>
      </c>
      <c r="AB297">
        <v>128</v>
      </c>
      <c r="AC297">
        <v>9</v>
      </c>
      <c r="AD297">
        <v>119</v>
      </c>
      <c r="AE297">
        <v>2</v>
      </c>
      <c r="AF297">
        <v>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2</v>
      </c>
      <c r="AQ297">
        <v>2</v>
      </c>
      <c r="AR297">
        <v>2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2</v>
      </c>
      <c r="BC297">
        <v>3</v>
      </c>
      <c r="BD297">
        <v>2</v>
      </c>
      <c r="BE297">
        <v>0</v>
      </c>
      <c r="BF297">
        <v>0</v>
      </c>
      <c r="BG297">
        <v>0</v>
      </c>
      <c r="BH297">
        <v>1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3</v>
      </c>
      <c r="BO297">
        <v>69</v>
      </c>
      <c r="BP297">
        <v>65</v>
      </c>
      <c r="BQ297">
        <v>0</v>
      </c>
      <c r="BR297">
        <v>0</v>
      </c>
      <c r="BS297">
        <v>2</v>
      </c>
      <c r="BT297">
        <v>0</v>
      </c>
      <c r="BU297">
        <v>0</v>
      </c>
      <c r="BV297">
        <v>0</v>
      </c>
      <c r="BW297">
        <v>1</v>
      </c>
      <c r="BX297">
        <v>1</v>
      </c>
      <c r="BY297">
        <v>0</v>
      </c>
      <c r="BZ297">
        <v>69</v>
      </c>
      <c r="CA297">
        <v>3</v>
      </c>
      <c r="CB297">
        <v>1</v>
      </c>
      <c r="CC297">
        <v>0</v>
      </c>
      <c r="CD297">
        <v>2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3</v>
      </c>
      <c r="CM297">
        <v>2</v>
      </c>
      <c r="CN297">
        <v>2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2</v>
      </c>
      <c r="CY297">
        <v>4</v>
      </c>
      <c r="CZ297">
        <v>3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1</v>
      </c>
      <c r="DJ297">
        <v>4</v>
      </c>
      <c r="DK297">
        <v>8</v>
      </c>
      <c r="DL297">
        <v>6</v>
      </c>
      <c r="DM297">
        <v>0</v>
      </c>
      <c r="DN297">
        <v>0</v>
      </c>
      <c r="DO297">
        <v>1</v>
      </c>
      <c r="DP297">
        <v>0</v>
      </c>
      <c r="DQ297">
        <v>0</v>
      </c>
      <c r="DR297">
        <v>0</v>
      </c>
      <c r="DS297">
        <v>1</v>
      </c>
      <c r="DT297">
        <v>0</v>
      </c>
      <c r="DU297">
        <v>0</v>
      </c>
      <c r="DV297">
        <v>8</v>
      </c>
      <c r="DW297">
        <v>26</v>
      </c>
      <c r="DX297">
        <v>26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26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</row>
    <row r="298" spans="1:172" ht="14.25">
      <c r="A298">
        <v>293</v>
      </c>
      <c r="B298" t="str">
        <f t="shared" si="56"/>
        <v>101709</v>
      </c>
      <c r="C298" t="str">
        <f t="shared" si="57"/>
        <v>Wieluń</v>
      </c>
      <c r="D298" t="str">
        <f t="shared" si="58"/>
        <v>wieluński</v>
      </c>
      <c r="E298" t="str">
        <f t="shared" si="55"/>
        <v>łódzkie</v>
      </c>
      <c r="F298">
        <v>24</v>
      </c>
      <c r="G298" t="str">
        <f>"SP ZOZ w Wieluniu, ul. Szpitalna 16, 98-300 Wieluń"</f>
        <v>SP ZOZ w Wieluniu, ul. Szpitalna 16, 98-300 Wieluń</v>
      </c>
      <c r="H298">
        <v>104</v>
      </c>
      <c r="I298">
        <v>104</v>
      </c>
      <c r="J298">
        <v>0</v>
      </c>
      <c r="K298">
        <v>70</v>
      </c>
      <c r="L298">
        <v>59</v>
      </c>
      <c r="M298">
        <v>11</v>
      </c>
      <c r="N298">
        <v>11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11</v>
      </c>
      <c r="Z298">
        <v>0</v>
      </c>
      <c r="AA298">
        <v>0</v>
      </c>
      <c r="AB298">
        <v>11</v>
      </c>
      <c r="AC298">
        <v>2</v>
      </c>
      <c r="AD298">
        <v>9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3</v>
      </c>
      <c r="BD298">
        <v>0</v>
      </c>
      <c r="BE298">
        <v>0</v>
      </c>
      <c r="BF298">
        <v>2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1</v>
      </c>
      <c r="BN298">
        <v>3</v>
      </c>
      <c r="BO298">
        <v>2</v>
      </c>
      <c r="BP298">
        <v>1</v>
      </c>
      <c r="BQ298">
        <v>0</v>
      </c>
      <c r="BR298">
        <v>0</v>
      </c>
      <c r="BS298">
        <v>1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2</v>
      </c>
      <c r="CA298">
        <v>1</v>
      </c>
      <c r="CB298">
        <v>0</v>
      </c>
      <c r="CC298">
        <v>0</v>
      </c>
      <c r="CD298">
        <v>1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1</v>
      </c>
      <c r="CM298">
        <v>1</v>
      </c>
      <c r="CN298">
        <v>1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1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2</v>
      </c>
      <c r="DX298">
        <v>1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1</v>
      </c>
      <c r="EE298">
        <v>0</v>
      </c>
      <c r="EF298">
        <v>0</v>
      </c>
      <c r="EG298">
        <v>0</v>
      </c>
      <c r="EH298">
        <v>2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</row>
    <row r="299" spans="1:172" ht="14.25">
      <c r="A299">
        <v>294</v>
      </c>
      <c r="B299" t="str">
        <f aca="true" t="shared" si="59" ref="B299:B305">"101710"</f>
        <v>101710</v>
      </c>
      <c r="C299" t="str">
        <f aca="true" t="shared" si="60" ref="C299:C305">"Wierzchlas"</f>
        <v>Wierzchlas</v>
      </c>
      <c r="D299" t="str">
        <f t="shared" si="58"/>
        <v>wieluński</v>
      </c>
      <c r="E299" t="str">
        <f t="shared" si="55"/>
        <v>łódzkie</v>
      </c>
      <c r="F299">
        <v>1</v>
      </c>
      <c r="G299" t="str">
        <f>"Urząd Gminy w Wierzchlesie, Szkolna 7, 98-324 Wierzchlas"</f>
        <v>Urząd Gminy w Wierzchlesie, Szkolna 7, 98-324 Wierzchlas</v>
      </c>
      <c r="H299">
        <v>1543</v>
      </c>
      <c r="I299">
        <v>1543</v>
      </c>
      <c r="J299">
        <v>0</v>
      </c>
      <c r="K299">
        <v>1080</v>
      </c>
      <c r="L299">
        <v>844</v>
      </c>
      <c r="M299">
        <v>236</v>
      </c>
      <c r="N299">
        <v>236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236</v>
      </c>
      <c r="Z299">
        <v>0</v>
      </c>
      <c r="AA299">
        <v>0</v>
      </c>
      <c r="AB299">
        <v>236</v>
      </c>
      <c r="AC299">
        <v>8</v>
      </c>
      <c r="AD299">
        <v>228</v>
      </c>
      <c r="AE299">
        <v>4</v>
      </c>
      <c r="AF299">
        <v>3</v>
      </c>
      <c r="AG299">
        <v>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4</v>
      </c>
      <c r="AQ299">
        <v>1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1</v>
      </c>
      <c r="BB299">
        <v>1</v>
      </c>
      <c r="BC299">
        <v>13</v>
      </c>
      <c r="BD299">
        <v>8</v>
      </c>
      <c r="BE299">
        <v>0</v>
      </c>
      <c r="BF299">
        <v>0</v>
      </c>
      <c r="BG299">
        <v>2</v>
      </c>
      <c r="BH299">
        <v>2</v>
      </c>
      <c r="BI299">
        <v>0</v>
      </c>
      <c r="BJ299">
        <v>1</v>
      </c>
      <c r="BK299">
        <v>0</v>
      </c>
      <c r="BL299">
        <v>0</v>
      </c>
      <c r="BM299">
        <v>0</v>
      </c>
      <c r="BN299">
        <v>13</v>
      </c>
      <c r="BO299">
        <v>86</v>
      </c>
      <c r="BP299">
        <v>76</v>
      </c>
      <c r="BQ299">
        <v>0</v>
      </c>
      <c r="BR299">
        <v>1</v>
      </c>
      <c r="BS299">
        <v>6</v>
      </c>
      <c r="BT299">
        <v>0</v>
      </c>
      <c r="BU299">
        <v>1</v>
      </c>
      <c r="BV299">
        <v>1</v>
      </c>
      <c r="BW299">
        <v>1</v>
      </c>
      <c r="BX299">
        <v>0</v>
      </c>
      <c r="BY299">
        <v>0</v>
      </c>
      <c r="BZ299">
        <v>86</v>
      </c>
      <c r="CA299">
        <v>8</v>
      </c>
      <c r="CB299">
        <v>3</v>
      </c>
      <c r="CC299">
        <v>2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1</v>
      </c>
      <c r="CJ299">
        <v>0</v>
      </c>
      <c r="CK299">
        <v>2</v>
      </c>
      <c r="CL299">
        <v>8</v>
      </c>
      <c r="CM299">
        <v>2</v>
      </c>
      <c r="CN299">
        <v>1</v>
      </c>
      <c r="CO299">
        <v>1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2</v>
      </c>
      <c r="CY299">
        <v>15</v>
      </c>
      <c r="CZ299">
        <v>6</v>
      </c>
      <c r="DA299">
        <v>2</v>
      </c>
      <c r="DB299">
        <v>1</v>
      </c>
      <c r="DC299">
        <v>1</v>
      </c>
      <c r="DD299">
        <v>1</v>
      </c>
      <c r="DE299">
        <v>1</v>
      </c>
      <c r="DF299">
        <v>2</v>
      </c>
      <c r="DG299">
        <v>1</v>
      </c>
      <c r="DH299">
        <v>0</v>
      </c>
      <c r="DI299">
        <v>0</v>
      </c>
      <c r="DJ299">
        <v>15</v>
      </c>
      <c r="DK299">
        <v>35</v>
      </c>
      <c r="DL299">
        <v>17</v>
      </c>
      <c r="DM299">
        <v>12</v>
      </c>
      <c r="DN299">
        <v>1</v>
      </c>
      <c r="DO299">
        <v>3</v>
      </c>
      <c r="DP299">
        <v>0</v>
      </c>
      <c r="DQ299">
        <v>0</v>
      </c>
      <c r="DR299">
        <v>1</v>
      </c>
      <c r="DS299">
        <v>0</v>
      </c>
      <c r="DT299">
        <v>0</v>
      </c>
      <c r="DU299">
        <v>1</v>
      </c>
      <c r="DV299">
        <v>35</v>
      </c>
      <c r="DW299">
        <v>57</v>
      </c>
      <c r="DX299">
        <v>49</v>
      </c>
      <c r="DY299">
        <v>3</v>
      </c>
      <c r="DZ299">
        <v>0</v>
      </c>
      <c r="EA299">
        <v>0</v>
      </c>
      <c r="EB299">
        <v>0</v>
      </c>
      <c r="EC299">
        <v>3</v>
      </c>
      <c r="ED299">
        <v>2</v>
      </c>
      <c r="EE299">
        <v>0</v>
      </c>
      <c r="EF299">
        <v>0</v>
      </c>
      <c r="EG299">
        <v>0</v>
      </c>
      <c r="EH299">
        <v>57</v>
      </c>
      <c r="EI299">
        <v>1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1</v>
      </c>
      <c r="ER299">
        <v>1</v>
      </c>
      <c r="ES299">
        <v>3</v>
      </c>
      <c r="ET299">
        <v>3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3</v>
      </c>
      <c r="FE299">
        <v>3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2</v>
      </c>
      <c r="FN299">
        <v>0</v>
      </c>
      <c r="FO299">
        <v>1</v>
      </c>
      <c r="FP299">
        <v>3</v>
      </c>
    </row>
    <row r="300" spans="1:172" ht="14.25">
      <c r="A300">
        <v>295</v>
      </c>
      <c r="B300" t="str">
        <f t="shared" si="59"/>
        <v>101710</v>
      </c>
      <c r="C300" t="str">
        <f t="shared" si="60"/>
        <v>Wierzchlas</v>
      </c>
      <c r="D300" t="str">
        <f t="shared" si="58"/>
        <v>wieluński</v>
      </c>
      <c r="E300" t="str">
        <f t="shared" si="55"/>
        <v>łódzkie</v>
      </c>
      <c r="F300">
        <v>2</v>
      </c>
      <c r="G300" t="str">
        <f>"Szkoła Podstawowa w Kraszkowicach, Szkolna 5, Kraszkowice, 98-324 Wierzchlas"</f>
        <v>Szkoła Podstawowa w Kraszkowicach, Szkolna 5, Kraszkowice, 98-324 Wierzchlas</v>
      </c>
      <c r="H300">
        <v>870</v>
      </c>
      <c r="I300">
        <v>870</v>
      </c>
      <c r="J300">
        <v>0</v>
      </c>
      <c r="K300">
        <v>610</v>
      </c>
      <c r="L300">
        <v>487</v>
      </c>
      <c r="M300">
        <v>123</v>
      </c>
      <c r="N300">
        <v>123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123</v>
      </c>
      <c r="Z300">
        <v>0</v>
      </c>
      <c r="AA300">
        <v>0</v>
      </c>
      <c r="AB300">
        <v>123</v>
      </c>
      <c r="AC300">
        <v>4</v>
      </c>
      <c r="AD300">
        <v>119</v>
      </c>
      <c r="AE300">
        <v>5</v>
      </c>
      <c r="AF300">
        <v>4</v>
      </c>
      <c r="AG300">
        <v>0</v>
      </c>
      <c r="AH300">
        <v>0</v>
      </c>
      <c r="AI300">
        <v>0</v>
      </c>
      <c r="AJ300">
        <v>0</v>
      </c>
      <c r="AK300">
        <v>1</v>
      </c>
      <c r="AL300">
        <v>0</v>
      </c>
      <c r="AM300">
        <v>0</v>
      </c>
      <c r="AN300">
        <v>0</v>
      </c>
      <c r="AO300">
        <v>0</v>
      </c>
      <c r="AP300">
        <v>5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17</v>
      </c>
      <c r="BD300">
        <v>7</v>
      </c>
      <c r="BE300">
        <v>3</v>
      </c>
      <c r="BF300">
        <v>2</v>
      </c>
      <c r="BG300">
        <v>0</v>
      </c>
      <c r="BH300">
        <v>0</v>
      </c>
      <c r="BI300">
        <v>3</v>
      </c>
      <c r="BJ300">
        <v>0</v>
      </c>
      <c r="BK300">
        <v>0</v>
      </c>
      <c r="BL300">
        <v>0</v>
      </c>
      <c r="BM300">
        <v>2</v>
      </c>
      <c r="BN300">
        <v>17</v>
      </c>
      <c r="BO300">
        <v>42</v>
      </c>
      <c r="BP300">
        <v>34</v>
      </c>
      <c r="BQ300">
        <v>0</v>
      </c>
      <c r="BR300">
        <v>0</v>
      </c>
      <c r="BS300">
        <v>4</v>
      </c>
      <c r="BT300">
        <v>0</v>
      </c>
      <c r="BU300">
        <v>0</v>
      </c>
      <c r="BV300">
        <v>3</v>
      </c>
      <c r="BW300">
        <v>0</v>
      </c>
      <c r="BX300">
        <v>0</v>
      </c>
      <c r="BY300">
        <v>1</v>
      </c>
      <c r="BZ300">
        <v>42</v>
      </c>
      <c r="CA300">
        <v>4</v>
      </c>
      <c r="CB300">
        <v>1</v>
      </c>
      <c r="CC300">
        <v>1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2</v>
      </c>
      <c r="CJ300">
        <v>0</v>
      </c>
      <c r="CK300">
        <v>0</v>
      </c>
      <c r="CL300">
        <v>4</v>
      </c>
      <c r="CM300">
        <v>6</v>
      </c>
      <c r="CN300">
        <v>3</v>
      </c>
      <c r="CO300">
        <v>2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1</v>
      </c>
      <c r="CW300">
        <v>0</v>
      </c>
      <c r="CX300">
        <v>6</v>
      </c>
      <c r="CY300">
        <v>6</v>
      </c>
      <c r="CZ300">
        <v>3</v>
      </c>
      <c r="DA300">
        <v>0</v>
      </c>
      <c r="DB300">
        <v>2</v>
      </c>
      <c r="DC300">
        <v>0</v>
      </c>
      <c r="DD300">
        <v>0</v>
      </c>
      <c r="DE300">
        <v>0</v>
      </c>
      <c r="DF300">
        <v>0</v>
      </c>
      <c r="DG300">
        <v>1</v>
      </c>
      <c r="DH300">
        <v>0</v>
      </c>
      <c r="DI300">
        <v>0</v>
      </c>
      <c r="DJ300">
        <v>6</v>
      </c>
      <c r="DK300">
        <v>12</v>
      </c>
      <c r="DL300">
        <v>8</v>
      </c>
      <c r="DM300">
        <v>0</v>
      </c>
      <c r="DN300">
        <v>2</v>
      </c>
      <c r="DO300">
        <v>2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12</v>
      </c>
      <c r="DW300">
        <v>23</v>
      </c>
      <c r="DX300">
        <v>15</v>
      </c>
      <c r="DY300">
        <v>0</v>
      </c>
      <c r="DZ300">
        <v>0</v>
      </c>
      <c r="EA300">
        <v>1</v>
      </c>
      <c r="EB300">
        <v>1</v>
      </c>
      <c r="EC300">
        <v>0</v>
      </c>
      <c r="ED300">
        <v>3</v>
      </c>
      <c r="EE300">
        <v>1</v>
      </c>
      <c r="EF300">
        <v>1</v>
      </c>
      <c r="EG300">
        <v>1</v>
      </c>
      <c r="EH300">
        <v>23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4</v>
      </c>
      <c r="ET300">
        <v>4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4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</row>
    <row r="301" spans="1:172" ht="14.25">
      <c r="A301">
        <v>296</v>
      </c>
      <c r="B301" t="str">
        <f t="shared" si="59"/>
        <v>101710</v>
      </c>
      <c r="C301" t="str">
        <f t="shared" si="60"/>
        <v>Wierzchlas</v>
      </c>
      <c r="D301" t="str">
        <f t="shared" si="58"/>
        <v>wieluński</v>
      </c>
      <c r="E301" t="str">
        <f t="shared" si="55"/>
        <v>łódzkie</v>
      </c>
      <c r="F301">
        <v>3</v>
      </c>
      <c r="G301" t="str">
        <f>"Remiza OSP w Krzeczowie, Wczasowa 3, Krzeczów, 98-324 Wierzchlas"</f>
        <v>Remiza OSP w Krzeczowie, Wczasowa 3, Krzeczów, 98-324 Wierzchlas</v>
      </c>
      <c r="H301">
        <v>460</v>
      </c>
      <c r="I301">
        <v>460</v>
      </c>
      <c r="J301">
        <v>0</v>
      </c>
      <c r="K301">
        <v>320</v>
      </c>
      <c r="L301">
        <v>214</v>
      </c>
      <c r="M301">
        <v>106</v>
      </c>
      <c r="N301">
        <v>106</v>
      </c>
      <c r="O301">
        <v>0</v>
      </c>
      <c r="P301">
        <v>0</v>
      </c>
      <c r="Q301">
        <v>3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106</v>
      </c>
      <c r="Z301">
        <v>0</v>
      </c>
      <c r="AA301">
        <v>0</v>
      </c>
      <c r="AB301">
        <v>106</v>
      </c>
      <c r="AC301">
        <v>4</v>
      </c>
      <c r="AD301">
        <v>102</v>
      </c>
      <c r="AE301">
        <v>1</v>
      </c>
      <c r="AF301">
        <v>1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1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16</v>
      </c>
      <c r="BD301">
        <v>11</v>
      </c>
      <c r="BE301">
        <v>0</v>
      </c>
      <c r="BF301">
        <v>0</v>
      </c>
      <c r="BG301">
        <v>0</v>
      </c>
      <c r="BH301">
        <v>1</v>
      </c>
      <c r="BI301">
        <v>2</v>
      </c>
      <c r="BJ301">
        <v>1</v>
      </c>
      <c r="BK301">
        <v>0</v>
      </c>
      <c r="BL301">
        <v>0</v>
      </c>
      <c r="BM301">
        <v>1</v>
      </c>
      <c r="BN301">
        <v>16</v>
      </c>
      <c r="BO301">
        <v>24</v>
      </c>
      <c r="BP301">
        <v>22</v>
      </c>
      <c r="BQ301">
        <v>0</v>
      </c>
      <c r="BR301">
        <v>1</v>
      </c>
      <c r="BS301">
        <v>1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24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6</v>
      </c>
      <c r="CN301">
        <v>6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6</v>
      </c>
      <c r="CY301">
        <v>5</v>
      </c>
      <c r="CZ301">
        <v>4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5</v>
      </c>
      <c r="DK301">
        <v>20</v>
      </c>
      <c r="DL301">
        <v>18</v>
      </c>
      <c r="DM301">
        <v>1</v>
      </c>
      <c r="DN301">
        <v>0</v>
      </c>
      <c r="DO301">
        <v>0</v>
      </c>
      <c r="DP301">
        <v>0</v>
      </c>
      <c r="DQ301">
        <v>1</v>
      </c>
      <c r="DR301">
        <v>0</v>
      </c>
      <c r="DS301">
        <v>0</v>
      </c>
      <c r="DT301">
        <v>0</v>
      </c>
      <c r="DU301">
        <v>0</v>
      </c>
      <c r="DV301">
        <v>20</v>
      </c>
      <c r="DW301">
        <v>30</v>
      </c>
      <c r="DX301">
        <v>29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1</v>
      </c>
      <c r="EH301">
        <v>30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</row>
    <row r="302" spans="1:172" ht="14.25">
      <c r="A302">
        <v>297</v>
      </c>
      <c r="B302" t="str">
        <f t="shared" si="59"/>
        <v>101710</v>
      </c>
      <c r="C302" t="str">
        <f t="shared" si="60"/>
        <v>Wierzchlas</v>
      </c>
      <c r="D302" t="str">
        <f t="shared" si="58"/>
        <v>wieluński</v>
      </c>
      <c r="E302" t="str">
        <f t="shared" si="55"/>
        <v>łódzkie</v>
      </c>
      <c r="F302">
        <v>4</v>
      </c>
      <c r="G302" t="str">
        <f>"Szkoła Podstawowa w Mierzycach, Mierzyce 149, 98-324 Wierzchlas"</f>
        <v>Szkoła Podstawowa w Mierzycach, Mierzyce 149, 98-324 Wierzchlas</v>
      </c>
      <c r="H302">
        <v>811</v>
      </c>
      <c r="I302">
        <v>811</v>
      </c>
      <c r="J302">
        <v>0</v>
      </c>
      <c r="K302">
        <v>571</v>
      </c>
      <c r="L302">
        <v>447</v>
      </c>
      <c r="M302">
        <v>124</v>
      </c>
      <c r="N302">
        <v>124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124</v>
      </c>
      <c r="Z302">
        <v>0</v>
      </c>
      <c r="AA302">
        <v>0</v>
      </c>
      <c r="AB302">
        <v>124</v>
      </c>
      <c r="AC302">
        <v>2</v>
      </c>
      <c r="AD302">
        <v>122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4</v>
      </c>
      <c r="BD302">
        <v>1</v>
      </c>
      <c r="BE302">
        <v>0</v>
      </c>
      <c r="BF302">
        <v>2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1</v>
      </c>
      <c r="BM302">
        <v>0</v>
      </c>
      <c r="BN302">
        <v>4</v>
      </c>
      <c r="BO302">
        <v>36</v>
      </c>
      <c r="BP302">
        <v>31</v>
      </c>
      <c r="BQ302">
        <v>0</v>
      </c>
      <c r="BR302">
        <v>0</v>
      </c>
      <c r="BS302">
        <v>2</v>
      </c>
      <c r="BT302">
        <v>0</v>
      </c>
      <c r="BU302">
        <v>0</v>
      </c>
      <c r="BV302">
        <v>0</v>
      </c>
      <c r="BW302">
        <v>1</v>
      </c>
      <c r="BX302">
        <v>1</v>
      </c>
      <c r="BY302">
        <v>1</v>
      </c>
      <c r="BZ302">
        <v>36</v>
      </c>
      <c r="CA302">
        <v>3</v>
      </c>
      <c r="CB302">
        <v>0</v>
      </c>
      <c r="CC302">
        <v>0</v>
      </c>
      <c r="CD302">
        <v>1</v>
      </c>
      <c r="CE302">
        <v>1</v>
      </c>
      <c r="CF302">
        <v>0</v>
      </c>
      <c r="CG302">
        <v>1</v>
      </c>
      <c r="CH302">
        <v>0</v>
      </c>
      <c r="CI302">
        <v>0</v>
      </c>
      <c r="CJ302">
        <v>0</v>
      </c>
      <c r="CK302">
        <v>0</v>
      </c>
      <c r="CL302">
        <v>3</v>
      </c>
      <c r="CM302">
        <v>1</v>
      </c>
      <c r="CN302">
        <v>1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1</v>
      </c>
      <c r="CY302">
        <v>12</v>
      </c>
      <c r="CZ302">
        <v>5</v>
      </c>
      <c r="DA302">
        <v>1</v>
      </c>
      <c r="DB302">
        <v>0</v>
      </c>
      <c r="DC302">
        <v>2</v>
      </c>
      <c r="DD302">
        <v>0</v>
      </c>
      <c r="DE302">
        <v>0</v>
      </c>
      <c r="DF302">
        <v>0</v>
      </c>
      <c r="DG302">
        <v>2</v>
      </c>
      <c r="DH302">
        <v>2</v>
      </c>
      <c r="DI302">
        <v>0</v>
      </c>
      <c r="DJ302">
        <v>12</v>
      </c>
      <c r="DK302">
        <v>22</v>
      </c>
      <c r="DL302">
        <v>18</v>
      </c>
      <c r="DM302">
        <v>3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1</v>
      </c>
      <c r="DT302">
        <v>0</v>
      </c>
      <c r="DU302">
        <v>0</v>
      </c>
      <c r="DV302">
        <v>22</v>
      </c>
      <c r="DW302">
        <v>43</v>
      </c>
      <c r="DX302">
        <v>42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1</v>
      </c>
      <c r="EE302">
        <v>0</v>
      </c>
      <c r="EF302">
        <v>0</v>
      </c>
      <c r="EG302">
        <v>0</v>
      </c>
      <c r="EH302">
        <v>43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1</v>
      </c>
      <c r="ET302">
        <v>0</v>
      </c>
      <c r="EU302">
        <v>1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1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</row>
    <row r="303" spans="1:172" ht="14.25">
      <c r="A303">
        <v>298</v>
      </c>
      <c r="B303" t="str">
        <f t="shared" si="59"/>
        <v>101710</v>
      </c>
      <c r="C303" t="str">
        <f t="shared" si="60"/>
        <v>Wierzchlas</v>
      </c>
      <c r="D303" t="str">
        <f t="shared" si="58"/>
        <v>wieluński</v>
      </c>
      <c r="E303" t="str">
        <f t="shared" si="55"/>
        <v>łódzkie</v>
      </c>
      <c r="F303">
        <v>5</v>
      </c>
      <c r="G303" t="str">
        <f>"Szkoła Podstawowa w Łaszewie, Szkolna 48, Łaszew, 98-324 Wierzchlas"</f>
        <v>Szkoła Podstawowa w Łaszewie, Szkolna 48, Łaszew, 98-324 Wierzchlas</v>
      </c>
      <c r="H303">
        <v>512</v>
      </c>
      <c r="I303">
        <v>512</v>
      </c>
      <c r="J303">
        <v>0</v>
      </c>
      <c r="K303">
        <v>360</v>
      </c>
      <c r="L303">
        <v>265</v>
      </c>
      <c r="M303">
        <v>95</v>
      </c>
      <c r="N303">
        <v>95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95</v>
      </c>
      <c r="Z303">
        <v>0</v>
      </c>
      <c r="AA303">
        <v>0</v>
      </c>
      <c r="AB303">
        <v>95</v>
      </c>
      <c r="AC303">
        <v>6</v>
      </c>
      <c r="AD303">
        <v>89</v>
      </c>
      <c r="AE303">
        <v>3</v>
      </c>
      <c r="AF303">
        <v>2</v>
      </c>
      <c r="AG303">
        <v>0</v>
      </c>
      <c r="AH303">
        <v>0</v>
      </c>
      <c r="AI303">
        <v>0</v>
      </c>
      <c r="AJ303">
        <v>1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3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1</v>
      </c>
      <c r="BD303">
        <v>1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1</v>
      </c>
      <c r="BO303">
        <v>50</v>
      </c>
      <c r="BP303">
        <v>45</v>
      </c>
      <c r="BQ303">
        <v>0</v>
      </c>
      <c r="BR303">
        <v>0</v>
      </c>
      <c r="BS303">
        <v>2</v>
      </c>
      <c r="BT303">
        <v>0</v>
      </c>
      <c r="BU303">
        <v>1</v>
      </c>
      <c r="BV303">
        <v>1</v>
      </c>
      <c r="BW303">
        <v>0</v>
      </c>
      <c r="BX303">
        <v>1</v>
      </c>
      <c r="BY303">
        <v>0</v>
      </c>
      <c r="BZ303">
        <v>50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5</v>
      </c>
      <c r="CZ303">
        <v>4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1</v>
      </c>
      <c r="DH303">
        <v>0</v>
      </c>
      <c r="DI303">
        <v>0</v>
      </c>
      <c r="DJ303">
        <v>5</v>
      </c>
      <c r="DK303">
        <v>8</v>
      </c>
      <c r="DL303">
        <v>3</v>
      </c>
      <c r="DM303">
        <v>0</v>
      </c>
      <c r="DN303">
        <v>2</v>
      </c>
      <c r="DO303">
        <v>1</v>
      </c>
      <c r="DP303">
        <v>1</v>
      </c>
      <c r="DQ303">
        <v>1</v>
      </c>
      <c r="DR303">
        <v>0</v>
      </c>
      <c r="DS303">
        <v>0</v>
      </c>
      <c r="DT303">
        <v>0</v>
      </c>
      <c r="DU303">
        <v>0</v>
      </c>
      <c r="DV303">
        <v>8</v>
      </c>
      <c r="DW303">
        <v>18</v>
      </c>
      <c r="DX303">
        <v>16</v>
      </c>
      <c r="DY303">
        <v>2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18</v>
      </c>
      <c r="EI303">
        <v>2</v>
      </c>
      <c r="EJ303">
        <v>1</v>
      </c>
      <c r="EK303">
        <v>1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2</v>
      </c>
      <c r="ES303">
        <v>2</v>
      </c>
      <c r="ET303">
        <v>0</v>
      </c>
      <c r="EU303">
        <v>1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1</v>
      </c>
      <c r="FD303">
        <v>2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</row>
    <row r="304" spans="1:172" ht="14.25">
      <c r="A304">
        <v>299</v>
      </c>
      <c r="B304" t="str">
        <f t="shared" si="59"/>
        <v>101710</v>
      </c>
      <c r="C304" t="str">
        <f t="shared" si="60"/>
        <v>Wierzchlas</v>
      </c>
      <c r="D304" t="str">
        <f t="shared" si="58"/>
        <v>wieluński</v>
      </c>
      <c r="E304" t="str">
        <f t="shared" si="55"/>
        <v>łódzkie</v>
      </c>
      <c r="F304">
        <v>6</v>
      </c>
      <c r="G304" t="str">
        <f>"Szkoła Podstawowa w Toporowie, Szkolna 6, Toporów, 98-324 Wierzchlas"</f>
        <v>Szkoła Podstawowa w Toporowie, Szkolna 6, Toporów, 98-324 Wierzchlas</v>
      </c>
      <c r="H304">
        <v>807</v>
      </c>
      <c r="I304">
        <v>807</v>
      </c>
      <c r="J304">
        <v>0</v>
      </c>
      <c r="K304">
        <v>570</v>
      </c>
      <c r="L304">
        <v>397</v>
      </c>
      <c r="M304">
        <v>173</v>
      </c>
      <c r="N304">
        <v>173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173</v>
      </c>
      <c r="Z304">
        <v>0</v>
      </c>
      <c r="AA304">
        <v>0</v>
      </c>
      <c r="AB304">
        <v>173</v>
      </c>
      <c r="AC304">
        <v>8</v>
      </c>
      <c r="AD304">
        <v>165</v>
      </c>
      <c r="AE304">
        <v>2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2</v>
      </c>
      <c r="AM304">
        <v>0</v>
      </c>
      <c r="AN304">
        <v>0</v>
      </c>
      <c r="AO304">
        <v>0</v>
      </c>
      <c r="AP304">
        <v>2</v>
      </c>
      <c r="AQ304">
        <v>3</v>
      </c>
      <c r="AR304">
        <v>3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3</v>
      </c>
      <c r="BC304">
        <v>6</v>
      </c>
      <c r="BD304">
        <v>2</v>
      </c>
      <c r="BE304">
        <v>2</v>
      </c>
      <c r="BF304">
        <v>0</v>
      </c>
      <c r="BG304">
        <v>1</v>
      </c>
      <c r="BH304">
        <v>1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6</v>
      </c>
      <c r="BO304">
        <v>51</v>
      </c>
      <c r="BP304">
        <v>46</v>
      </c>
      <c r="BQ304">
        <v>1</v>
      </c>
      <c r="BR304">
        <v>0</v>
      </c>
      <c r="BS304">
        <v>4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51</v>
      </c>
      <c r="CA304">
        <v>2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1</v>
      </c>
      <c r="CJ304">
        <v>0</v>
      </c>
      <c r="CK304">
        <v>1</v>
      </c>
      <c r="CL304">
        <v>2</v>
      </c>
      <c r="CM304">
        <v>1</v>
      </c>
      <c r="CN304">
        <v>1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1</v>
      </c>
      <c r="CY304">
        <v>11</v>
      </c>
      <c r="CZ304">
        <v>7</v>
      </c>
      <c r="DA304">
        <v>0</v>
      </c>
      <c r="DB304">
        <v>0</v>
      </c>
      <c r="DC304">
        <v>1</v>
      </c>
      <c r="DD304">
        <v>0</v>
      </c>
      <c r="DE304">
        <v>0</v>
      </c>
      <c r="DF304">
        <v>1</v>
      </c>
      <c r="DG304">
        <v>1</v>
      </c>
      <c r="DH304">
        <v>1</v>
      </c>
      <c r="DI304">
        <v>0</v>
      </c>
      <c r="DJ304">
        <v>11</v>
      </c>
      <c r="DK304">
        <v>14</v>
      </c>
      <c r="DL304">
        <v>9</v>
      </c>
      <c r="DM304">
        <v>3</v>
      </c>
      <c r="DN304">
        <v>1</v>
      </c>
      <c r="DO304">
        <v>0</v>
      </c>
      <c r="DP304">
        <v>0</v>
      </c>
      <c r="DQ304">
        <v>1</v>
      </c>
      <c r="DR304">
        <v>0</v>
      </c>
      <c r="DS304">
        <v>0</v>
      </c>
      <c r="DT304">
        <v>0</v>
      </c>
      <c r="DU304">
        <v>0</v>
      </c>
      <c r="DV304">
        <v>14</v>
      </c>
      <c r="DW304">
        <v>72</v>
      </c>
      <c r="DX304">
        <v>70</v>
      </c>
      <c r="DY304">
        <v>1</v>
      </c>
      <c r="DZ304">
        <v>0</v>
      </c>
      <c r="EA304">
        <v>0</v>
      </c>
      <c r="EB304">
        <v>0</v>
      </c>
      <c r="EC304">
        <v>1</v>
      </c>
      <c r="ED304">
        <v>0</v>
      </c>
      <c r="EE304">
        <v>0</v>
      </c>
      <c r="EF304">
        <v>0</v>
      </c>
      <c r="EG304">
        <v>0</v>
      </c>
      <c r="EH304">
        <v>72</v>
      </c>
      <c r="EI304">
        <v>1</v>
      </c>
      <c r="EJ304">
        <v>1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1</v>
      </c>
      <c r="ES304">
        <v>1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1</v>
      </c>
      <c r="FD304">
        <v>1</v>
      </c>
      <c r="FE304">
        <v>1</v>
      </c>
      <c r="FF304">
        <v>1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1</v>
      </c>
    </row>
    <row r="305" spans="1:172" ht="14.25">
      <c r="A305">
        <v>300</v>
      </c>
      <c r="B305" t="str">
        <f t="shared" si="59"/>
        <v>101710</v>
      </c>
      <c r="C305" t="str">
        <f t="shared" si="60"/>
        <v>Wierzchlas</v>
      </c>
      <c r="D305" t="str">
        <f t="shared" si="58"/>
        <v>wieluński</v>
      </c>
      <c r="E305" t="str">
        <f t="shared" si="55"/>
        <v>łódzkie</v>
      </c>
      <c r="F305">
        <v>7</v>
      </c>
      <c r="G305" t="str">
        <f>"Szkoła Podstawowa w Strugach, Jajczaki 10, 98-324 Wierzchlas"</f>
        <v>Szkoła Podstawowa w Strugach, Jajczaki 10, 98-324 Wierzchlas</v>
      </c>
      <c r="H305">
        <v>387</v>
      </c>
      <c r="I305">
        <v>387</v>
      </c>
      <c r="J305">
        <v>0</v>
      </c>
      <c r="K305">
        <v>270</v>
      </c>
      <c r="L305">
        <v>217</v>
      </c>
      <c r="M305">
        <v>53</v>
      </c>
      <c r="N305">
        <v>53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53</v>
      </c>
      <c r="Z305">
        <v>0</v>
      </c>
      <c r="AA305">
        <v>0</v>
      </c>
      <c r="AB305">
        <v>53</v>
      </c>
      <c r="AC305">
        <v>7</v>
      </c>
      <c r="AD305">
        <v>46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1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1</v>
      </c>
      <c r="BC305">
        <v>1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1</v>
      </c>
      <c r="BM305">
        <v>0</v>
      </c>
      <c r="BN305">
        <v>1</v>
      </c>
      <c r="BO305">
        <v>25</v>
      </c>
      <c r="BP305">
        <v>21</v>
      </c>
      <c r="BQ305">
        <v>0</v>
      </c>
      <c r="BR305">
        <v>1</v>
      </c>
      <c r="BS305">
        <v>2</v>
      </c>
      <c r="BT305">
        <v>0</v>
      </c>
      <c r="BU305">
        <v>0</v>
      </c>
      <c r="BV305">
        <v>1</v>
      </c>
      <c r="BW305">
        <v>0</v>
      </c>
      <c r="BX305">
        <v>0</v>
      </c>
      <c r="BY305">
        <v>0</v>
      </c>
      <c r="BZ305">
        <v>25</v>
      </c>
      <c r="CA305">
        <v>2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2</v>
      </c>
      <c r="CJ305">
        <v>0</v>
      </c>
      <c r="CK305">
        <v>0</v>
      </c>
      <c r="CL305">
        <v>2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4</v>
      </c>
      <c r="CZ305">
        <v>1</v>
      </c>
      <c r="DA305">
        <v>1</v>
      </c>
      <c r="DB305">
        <v>0</v>
      </c>
      <c r="DC305">
        <v>1</v>
      </c>
      <c r="DD305">
        <v>0</v>
      </c>
      <c r="DE305">
        <v>1</v>
      </c>
      <c r="DF305">
        <v>0</v>
      </c>
      <c r="DG305">
        <v>0</v>
      </c>
      <c r="DH305">
        <v>0</v>
      </c>
      <c r="DI305">
        <v>0</v>
      </c>
      <c r="DJ305">
        <v>4</v>
      </c>
      <c r="DK305">
        <v>3</v>
      </c>
      <c r="DL305">
        <v>0</v>
      </c>
      <c r="DM305">
        <v>3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3</v>
      </c>
      <c r="DW305">
        <v>9</v>
      </c>
      <c r="DX305">
        <v>9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9</v>
      </c>
      <c r="EI305">
        <v>1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1</v>
      </c>
      <c r="EQ305">
        <v>0</v>
      </c>
      <c r="ER305">
        <v>1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</row>
    <row r="306" spans="1:172" ht="14.25">
      <c r="A306">
        <v>301</v>
      </c>
      <c r="B306" t="str">
        <f>"101801"</f>
        <v>101801</v>
      </c>
      <c r="C306" t="str">
        <f>"Bolesławiec"</f>
        <v>Bolesławiec</v>
      </c>
      <c r="D306" t="str">
        <f aca="true" t="shared" si="61" ref="D306:D343">"wieruszowski"</f>
        <v>wieruszowski</v>
      </c>
      <c r="E306" t="str">
        <f t="shared" si="55"/>
        <v>łódzkie</v>
      </c>
      <c r="F306">
        <v>1</v>
      </c>
      <c r="G306" t="str">
        <f>"Gminny Ośrodek Kultury w Bolesławcu, Rynek 4, 98-430 Bolesławiec"</f>
        <v>Gminny Ośrodek Kultury w Bolesławcu, Rynek 4, 98-430 Bolesławiec</v>
      </c>
      <c r="H306">
        <v>1496</v>
      </c>
      <c r="I306">
        <v>1496</v>
      </c>
      <c r="J306">
        <v>0</v>
      </c>
      <c r="K306">
        <v>970</v>
      </c>
      <c r="L306">
        <v>708</v>
      </c>
      <c r="M306">
        <v>262</v>
      </c>
      <c r="N306">
        <v>262</v>
      </c>
      <c r="O306">
        <v>0</v>
      </c>
      <c r="P306">
        <v>0</v>
      </c>
      <c r="Q306">
        <v>6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262</v>
      </c>
      <c r="Z306">
        <v>0</v>
      </c>
      <c r="AA306">
        <v>0</v>
      </c>
      <c r="AB306">
        <v>262</v>
      </c>
      <c r="AC306">
        <v>15</v>
      </c>
      <c r="AD306">
        <v>247</v>
      </c>
      <c r="AE306">
        <v>3</v>
      </c>
      <c r="AF306">
        <v>1</v>
      </c>
      <c r="AG306">
        <v>1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1</v>
      </c>
      <c r="AO306">
        <v>0</v>
      </c>
      <c r="AP306">
        <v>3</v>
      </c>
      <c r="AQ306">
        <v>3</v>
      </c>
      <c r="AR306">
        <v>2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0</v>
      </c>
      <c r="AZ306">
        <v>0</v>
      </c>
      <c r="BA306">
        <v>0</v>
      </c>
      <c r="BB306">
        <v>3</v>
      </c>
      <c r="BC306">
        <v>15</v>
      </c>
      <c r="BD306">
        <v>10</v>
      </c>
      <c r="BE306">
        <v>1</v>
      </c>
      <c r="BF306">
        <v>0</v>
      </c>
      <c r="BG306">
        <v>0</v>
      </c>
      <c r="BH306">
        <v>0</v>
      </c>
      <c r="BI306">
        <v>2</v>
      </c>
      <c r="BJ306">
        <v>0</v>
      </c>
      <c r="BK306">
        <v>0</v>
      </c>
      <c r="BL306">
        <v>0</v>
      </c>
      <c r="BM306">
        <v>2</v>
      </c>
      <c r="BN306">
        <v>15</v>
      </c>
      <c r="BO306">
        <v>83</v>
      </c>
      <c r="BP306">
        <v>62</v>
      </c>
      <c r="BQ306">
        <v>11</v>
      </c>
      <c r="BR306">
        <v>1</v>
      </c>
      <c r="BS306">
        <v>3</v>
      </c>
      <c r="BT306">
        <v>0</v>
      </c>
      <c r="BU306">
        <v>0</v>
      </c>
      <c r="BV306">
        <v>2</v>
      </c>
      <c r="BW306">
        <v>0</v>
      </c>
      <c r="BX306">
        <v>1</v>
      </c>
      <c r="BY306">
        <v>3</v>
      </c>
      <c r="BZ306">
        <v>83</v>
      </c>
      <c r="CA306">
        <v>5</v>
      </c>
      <c r="CB306">
        <v>2</v>
      </c>
      <c r="CC306">
        <v>0</v>
      </c>
      <c r="CD306">
        <v>0</v>
      </c>
      <c r="CE306">
        <v>1</v>
      </c>
      <c r="CF306">
        <v>0</v>
      </c>
      <c r="CG306">
        <v>0</v>
      </c>
      <c r="CH306">
        <v>2</v>
      </c>
      <c r="CI306">
        <v>0</v>
      </c>
      <c r="CJ306">
        <v>0</v>
      </c>
      <c r="CK306">
        <v>0</v>
      </c>
      <c r="CL306">
        <v>5</v>
      </c>
      <c r="CM306">
        <v>5</v>
      </c>
      <c r="CN306">
        <v>2</v>
      </c>
      <c r="CO306">
        <v>1</v>
      </c>
      <c r="CP306">
        <v>0</v>
      </c>
      <c r="CQ306">
        <v>2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5</v>
      </c>
      <c r="CY306">
        <v>27</v>
      </c>
      <c r="CZ306">
        <v>16</v>
      </c>
      <c r="DA306">
        <v>1</v>
      </c>
      <c r="DB306">
        <v>0</v>
      </c>
      <c r="DC306">
        <v>1</v>
      </c>
      <c r="DD306">
        <v>0</v>
      </c>
      <c r="DE306">
        <v>3</v>
      </c>
      <c r="DF306">
        <v>0</v>
      </c>
      <c r="DG306">
        <v>4</v>
      </c>
      <c r="DH306">
        <v>2</v>
      </c>
      <c r="DI306">
        <v>0</v>
      </c>
      <c r="DJ306">
        <v>27</v>
      </c>
      <c r="DK306">
        <v>47</v>
      </c>
      <c r="DL306">
        <v>29</v>
      </c>
      <c r="DM306">
        <v>6</v>
      </c>
      <c r="DN306">
        <v>0</v>
      </c>
      <c r="DO306">
        <v>0</v>
      </c>
      <c r="DP306">
        <v>1</v>
      </c>
      <c r="DQ306">
        <v>5</v>
      </c>
      <c r="DR306">
        <v>1</v>
      </c>
      <c r="DS306">
        <v>2</v>
      </c>
      <c r="DT306">
        <v>3</v>
      </c>
      <c r="DU306">
        <v>0</v>
      </c>
      <c r="DV306">
        <v>47</v>
      </c>
      <c r="DW306">
        <v>49</v>
      </c>
      <c r="DX306">
        <v>10</v>
      </c>
      <c r="DY306">
        <v>3</v>
      </c>
      <c r="DZ306">
        <v>0</v>
      </c>
      <c r="EA306">
        <v>0</v>
      </c>
      <c r="EB306">
        <v>1</v>
      </c>
      <c r="EC306">
        <v>0</v>
      </c>
      <c r="ED306">
        <v>34</v>
      </c>
      <c r="EE306">
        <v>0</v>
      </c>
      <c r="EF306">
        <v>1</v>
      </c>
      <c r="EG306">
        <v>0</v>
      </c>
      <c r="EH306">
        <v>49</v>
      </c>
      <c r="EI306">
        <v>2</v>
      </c>
      <c r="EJ306">
        <v>0</v>
      </c>
      <c r="EK306">
        <v>2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2</v>
      </c>
      <c r="ES306">
        <v>2</v>
      </c>
      <c r="ET306">
        <v>0</v>
      </c>
      <c r="EU306">
        <v>0</v>
      </c>
      <c r="EV306">
        <v>0</v>
      </c>
      <c r="EW306">
        <v>0</v>
      </c>
      <c r="EX306">
        <v>1</v>
      </c>
      <c r="EY306">
        <v>1</v>
      </c>
      <c r="EZ306">
        <v>0</v>
      </c>
      <c r="FA306">
        <v>0</v>
      </c>
      <c r="FB306">
        <v>0</v>
      </c>
      <c r="FC306">
        <v>0</v>
      </c>
      <c r="FD306">
        <v>2</v>
      </c>
      <c r="FE306">
        <v>6</v>
      </c>
      <c r="FF306">
        <v>0</v>
      </c>
      <c r="FG306">
        <v>3</v>
      </c>
      <c r="FH306">
        <v>1</v>
      </c>
      <c r="FI306">
        <v>0</v>
      </c>
      <c r="FJ306">
        <v>0</v>
      </c>
      <c r="FK306">
        <v>0</v>
      </c>
      <c r="FL306">
        <v>2</v>
      </c>
      <c r="FM306">
        <v>0</v>
      </c>
      <c r="FN306">
        <v>0</v>
      </c>
      <c r="FO306">
        <v>0</v>
      </c>
      <c r="FP306">
        <v>6</v>
      </c>
    </row>
    <row r="307" spans="1:172" ht="14.25">
      <c r="A307">
        <v>302</v>
      </c>
      <c r="B307" t="str">
        <f>"101801"</f>
        <v>101801</v>
      </c>
      <c r="C307" t="str">
        <f>"Bolesławiec"</f>
        <v>Bolesławiec</v>
      </c>
      <c r="D307" t="str">
        <f t="shared" si="61"/>
        <v>wieruszowski</v>
      </c>
      <c r="E307" t="str">
        <f t="shared" si="55"/>
        <v>łódzkie</v>
      </c>
      <c r="F307">
        <v>2</v>
      </c>
      <c r="G307" t="str">
        <f>"Szkoła Podstawowa w Mieleszynie, Mieleszyn 141, 98-430 Bolesławiec"</f>
        <v>Szkoła Podstawowa w Mieleszynie, Mieleszyn 141, 98-430 Bolesławiec</v>
      </c>
      <c r="H307">
        <v>547</v>
      </c>
      <c r="I307">
        <v>547</v>
      </c>
      <c r="J307">
        <v>0</v>
      </c>
      <c r="K307">
        <v>380</v>
      </c>
      <c r="L307">
        <v>296</v>
      </c>
      <c r="M307">
        <v>84</v>
      </c>
      <c r="N307">
        <v>84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84</v>
      </c>
      <c r="Z307">
        <v>0</v>
      </c>
      <c r="AA307">
        <v>0</v>
      </c>
      <c r="AB307">
        <v>84</v>
      </c>
      <c r="AC307">
        <v>1</v>
      </c>
      <c r="AD307">
        <v>83</v>
      </c>
      <c r="AE307">
        <v>7</v>
      </c>
      <c r="AF307">
        <v>1</v>
      </c>
      <c r="AG307">
        <v>0</v>
      </c>
      <c r="AH307">
        <v>0</v>
      </c>
      <c r="AI307">
        <v>1</v>
      </c>
      <c r="AJ307">
        <v>2</v>
      </c>
      <c r="AK307">
        <v>0</v>
      </c>
      <c r="AL307">
        <v>1</v>
      </c>
      <c r="AM307">
        <v>0</v>
      </c>
      <c r="AN307">
        <v>1</v>
      </c>
      <c r="AO307">
        <v>1</v>
      </c>
      <c r="AP307">
        <v>7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7</v>
      </c>
      <c r="BD307">
        <v>4</v>
      </c>
      <c r="BE307">
        <v>1</v>
      </c>
      <c r="BF307">
        <v>0</v>
      </c>
      <c r="BG307">
        <v>0</v>
      </c>
      <c r="BH307">
        <v>1</v>
      </c>
      <c r="BI307">
        <v>0</v>
      </c>
      <c r="BJ307">
        <v>0</v>
      </c>
      <c r="BK307">
        <v>0</v>
      </c>
      <c r="BL307">
        <v>0</v>
      </c>
      <c r="BM307">
        <v>1</v>
      </c>
      <c r="BN307">
        <v>7</v>
      </c>
      <c r="BO307">
        <v>25</v>
      </c>
      <c r="BP307">
        <v>21</v>
      </c>
      <c r="BQ307">
        <v>1</v>
      </c>
      <c r="BR307">
        <v>0</v>
      </c>
      <c r="BS307">
        <v>3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25</v>
      </c>
      <c r="CA307">
        <v>2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1</v>
      </c>
      <c r="CI307">
        <v>0</v>
      </c>
      <c r="CJ307">
        <v>1</v>
      </c>
      <c r="CK307">
        <v>0</v>
      </c>
      <c r="CL307">
        <v>2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7</v>
      </c>
      <c r="CZ307">
        <v>6</v>
      </c>
      <c r="DA307">
        <v>0</v>
      </c>
      <c r="DB307">
        <v>0</v>
      </c>
      <c r="DC307">
        <v>1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7</v>
      </c>
      <c r="DK307">
        <v>8</v>
      </c>
      <c r="DL307">
        <v>5</v>
      </c>
      <c r="DM307">
        <v>0</v>
      </c>
      <c r="DN307">
        <v>0</v>
      </c>
      <c r="DO307">
        <v>0</v>
      </c>
      <c r="DP307">
        <v>0</v>
      </c>
      <c r="DQ307">
        <v>1</v>
      </c>
      <c r="DR307">
        <v>0</v>
      </c>
      <c r="DS307">
        <v>1</v>
      </c>
      <c r="DT307">
        <v>0</v>
      </c>
      <c r="DU307">
        <v>1</v>
      </c>
      <c r="DV307">
        <v>8</v>
      </c>
      <c r="DW307">
        <v>24</v>
      </c>
      <c r="DX307">
        <v>5</v>
      </c>
      <c r="DY307">
        <v>1</v>
      </c>
      <c r="DZ307">
        <v>0</v>
      </c>
      <c r="EA307">
        <v>0</v>
      </c>
      <c r="EB307">
        <v>2</v>
      </c>
      <c r="EC307">
        <v>0</v>
      </c>
      <c r="ED307">
        <v>15</v>
      </c>
      <c r="EE307">
        <v>1</v>
      </c>
      <c r="EF307">
        <v>0</v>
      </c>
      <c r="EG307">
        <v>0</v>
      </c>
      <c r="EH307">
        <v>24</v>
      </c>
      <c r="EI307">
        <v>1</v>
      </c>
      <c r="EJ307">
        <v>0</v>
      </c>
      <c r="EK307">
        <v>1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1</v>
      </c>
      <c r="ES307">
        <v>2</v>
      </c>
      <c r="ET307">
        <v>2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2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</row>
    <row r="308" spans="1:172" ht="14.25">
      <c r="A308">
        <v>303</v>
      </c>
      <c r="B308" t="str">
        <f>"101801"</f>
        <v>101801</v>
      </c>
      <c r="C308" t="str">
        <f>"Bolesławiec"</f>
        <v>Bolesławiec</v>
      </c>
      <c r="D308" t="str">
        <f t="shared" si="61"/>
        <v>wieruszowski</v>
      </c>
      <c r="E308" t="str">
        <f t="shared" si="55"/>
        <v>łódzkie</v>
      </c>
      <c r="F308">
        <v>3</v>
      </c>
      <c r="G308" t="str">
        <f>"Szkoła Podstawowa w Chróścinie, Chróścin 49, 98-430 Bolesławiec"</f>
        <v>Szkoła Podstawowa w Chróścinie, Chróścin 49, 98-430 Bolesławiec</v>
      </c>
      <c r="H308">
        <v>601</v>
      </c>
      <c r="I308">
        <v>601</v>
      </c>
      <c r="J308">
        <v>0</v>
      </c>
      <c r="K308">
        <v>490</v>
      </c>
      <c r="L308">
        <v>387</v>
      </c>
      <c r="M308">
        <v>103</v>
      </c>
      <c r="N308">
        <v>103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103</v>
      </c>
      <c r="Z308">
        <v>0</v>
      </c>
      <c r="AA308">
        <v>0</v>
      </c>
      <c r="AB308">
        <v>103</v>
      </c>
      <c r="AC308">
        <v>2</v>
      </c>
      <c r="AD308">
        <v>101</v>
      </c>
      <c r="AE308">
        <v>3</v>
      </c>
      <c r="AF308">
        <v>2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1</v>
      </c>
      <c r="AO308">
        <v>0</v>
      </c>
      <c r="AP308">
        <v>3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5</v>
      </c>
      <c r="BD308">
        <v>2</v>
      </c>
      <c r="BE308">
        <v>0</v>
      </c>
      <c r="BF308">
        <v>1</v>
      </c>
      <c r="BG308">
        <v>1</v>
      </c>
      <c r="BH308">
        <v>0</v>
      </c>
      <c r="BI308">
        <v>1</v>
      </c>
      <c r="BJ308">
        <v>0</v>
      </c>
      <c r="BK308">
        <v>0</v>
      </c>
      <c r="BL308">
        <v>0</v>
      </c>
      <c r="BM308">
        <v>0</v>
      </c>
      <c r="BN308">
        <v>5</v>
      </c>
      <c r="BO308">
        <v>36</v>
      </c>
      <c r="BP308">
        <v>23</v>
      </c>
      <c r="BQ308">
        <v>3</v>
      </c>
      <c r="BR308">
        <v>2</v>
      </c>
      <c r="BS308">
        <v>4</v>
      </c>
      <c r="BT308">
        <v>2</v>
      </c>
      <c r="BU308">
        <v>0</v>
      </c>
      <c r="BV308">
        <v>0</v>
      </c>
      <c r="BW308">
        <v>0</v>
      </c>
      <c r="BX308">
        <v>2</v>
      </c>
      <c r="BY308">
        <v>0</v>
      </c>
      <c r="BZ308">
        <v>36</v>
      </c>
      <c r="CA308">
        <v>2</v>
      </c>
      <c r="CB308">
        <v>2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2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6</v>
      </c>
      <c r="CZ308">
        <v>5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1</v>
      </c>
      <c r="DJ308">
        <v>6</v>
      </c>
      <c r="DK308">
        <v>16</v>
      </c>
      <c r="DL308">
        <v>14</v>
      </c>
      <c r="DM308">
        <v>1</v>
      </c>
      <c r="DN308">
        <v>0</v>
      </c>
      <c r="DO308">
        <v>0</v>
      </c>
      <c r="DP308">
        <v>0</v>
      </c>
      <c r="DQ308">
        <v>0</v>
      </c>
      <c r="DR308">
        <v>1</v>
      </c>
      <c r="DS308">
        <v>0</v>
      </c>
      <c r="DT308">
        <v>0</v>
      </c>
      <c r="DU308">
        <v>0</v>
      </c>
      <c r="DV308">
        <v>16</v>
      </c>
      <c r="DW308">
        <v>27</v>
      </c>
      <c r="DX308">
        <v>5</v>
      </c>
      <c r="DY308">
        <v>0</v>
      </c>
      <c r="DZ308">
        <v>0</v>
      </c>
      <c r="EA308">
        <v>0</v>
      </c>
      <c r="EB308">
        <v>2</v>
      </c>
      <c r="EC308">
        <v>1</v>
      </c>
      <c r="ED308">
        <v>18</v>
      </c>
      <c r="EE308">
        <v>0</v>
      </c>
      <c r="EF308">
        <v>0</v>
      </c>
      <c r="EG308">
        <v>1</v>
      </c>
      <c r="EH308">
        <v>27</v>
      </c>
      <c r="EI308">
        <v>4</v>
      </c>
      <c r="EJ308">
        <v>0</v>
      </c>
      <c r="EK308">
        <v>4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4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2</v>
      </c>
      <c r="FF308">
        <v>0</v>
      </c>
      <c r="FG308">
        <v>1</v>
      </c>
      <c r="FH308">
        <v>0</v>
      </c>
      <c r="FI308">
        <v>0</v>
      </c>
      <c r="FJ308">
        <v>1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2</v>
      </c>
    </row>
    <row r="309" spans="1:172" ht="14.25">
      <c r="A309">
        <v>304</v>
      </c>
      <c r="B309" t="str">
        <f>"101801"</f>
        <v>101801</v>
      </c>
      <c r="C309" t="str">
        <f>"Bolesławiec"</f>
        <v>Bolesławiec</v>
      </c>
      <c r="D309" t="str">
        <f t="shared" si="61"/>
        <v>wieruszowski</v>
      </c>
      <c r="E309" t="str">
        <f t="shared" si="55"/>
        <v>łódzkie</v>
      </c>
      <c r="F309">
        <v>4</v>
      </c>
      <c r="G309" t="str">
        <f>"Szkoła Podstawowa w Żdżarach, Żdżary 123, 98-430 Bolesławiec"</f>
        <v>Szkoła Podstawowa w Żdżarach, Żdżary 123, 98-430 Bolesławiec</v>
      </c>
      <c r="H309">
        <v>741</v>
      </c>
      <c r="I309">
        <v>741</v>
      </c>
      <c r="J309">
        <v>0</v>
      </c>
      <c r="K309">
        <v>520</v>
      </c>
      <c r="L309">
        <v>360</v>
      </c>
      <c r="M309">
        <v>160</v>
      </c>
      <c r="N309">
        <v>160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160</v>
      </c>
      <c r="Z309">
        <v>0</v>
      </c>
      <c r="AA309">
        <v>0</v>
      </c>
      <c r="AB309">
        <v>160</v>
      </c>
      <c r="AC309">
        <v>14</v>
      </c>
      <c r="AD309">
        <v>146</v>
      </c>
      <c r="AE309">
        <v>9</v>
      </c>
      <c r="AF309">
        <v>7</v>
      </c>
      <c r="AG309">
        <v>1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1</v>
      </c>
      <c r="AP309">
        <v>9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7</v>
      </c>
      <c r="BD309">
        <v>3</v>
      </c>
      <c r="BE309">
        <v>1</v>
      </c>
      <c r="BF309">
        <v>1</v>
      </c>
      <c r="BG309">
        <v>0</v>
      </c>
      <c r="BH309">
        <v>0</v>
      </c>
      <c r="BI309">
        <v>0</v>
      </c>
      <c r="BJ309">
        <v>0</v>
      </c>
      <c r="BK309">
        <v>1</v>
      </c>
      <c r="BL309">
        <v>0</v>
      </c>
      <c r="BM309">
        <v>1</v>
      </c>
      <c r="BN309">
        <v>7</v>
      </c>
      <c r="BO309">
        <v>57</v>
      </c>
      <c r="BP309">
        <v>47</v>
      </c>
      <c r="BQ309">
        <v>1</v>
      </c>
      <c r="BR309">
        <v>0</v>
      </c>
      <c r="BS309">
        <v>6</v>
      </c>
      <c r="BT309">
        <v>0</v>
      </c>
      <c r="BU309">
        <v>0</v>
      </c>
      <c r="BV309">
        <v>0</v>
      </c>
      <c r="BW309">
        <v>0</v>
      </c>
      <c r="BX309">
        <v>1</v>
      </c>
      <c r="BY309">
        <v>2</v>
      </c>
      <c r="BZ309">
        <v>57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1</v>
      </c>
      <c r="CN309">
        <v>1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1</v>
      </c>
      <c r="CY309">
        <v>7</v>
      </c>
      <c r="CZ309">
        <v>6</v>
      </c>
      <c r="DA309">
        <v>1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7</v>
      </c>
      <c r="DK309">
        <v>14</v>
      </c>
      <c r="DL309">
        <v>8</v>
      </c>
      <c r="DM309">
        <v>0</v>
      </c>
      <c r="DN309">
        <v>0</v>
      </c>
      <c r="DO309">
        <v>1</v>
      </c>
      <c r="DP309">
        <v>0</v>
      </c>
      <c r="DQ309">
        <v>0</v>
      </c>
      <c r="DR309">
        <v>0</v>
      </c>
      <c r="DS309">
        <v>4</v>
      </c>
      <c r="DT309">
        <v>0</v>
      </c>
      <c r="DU309">
        <v>1</v>
      </c>
      <c r="DV309">
        <v>14</v>
      </c>
      <c r="DW309">
        <v>48</v>
      </c>
      <c r="DX309">
        <v>8</v>
      </c>
      <c r="DY309">
        <v>0</v>
      </c>
      <c r="DZ309">
        <v>0</v>
      </c>
      <c r="EA309">
        <v>0</v>
      </c>
      <c r="EB309">
        <v>1</v>
      </c>
      <c r="EC309">
        <v>0</v>
      </c>
      <c r="ED309">
        <v>39</v>
      </c>
      <c r="EE309">
        <v>0</v>
      </c>
      <c r="EF309">
        <v>0</v>
      </c>
      <c r="EG309">
        <v>0</v>
      </c>
      <c r="EH309">
        <v>48</v>
      </c>
      <c r="EI309">
        <v>2</v>
      </c>
      <c r="EJ309">
        <v>0</v>
      </c>
      <c r="EK309">
        <v>1</v>
      </c>
      <c r="EL309">
        <v>0</v>
      </c>
      <c r="EM309">
        <v>0</v>
      </c>
      <c r="EN309">
        <v>0</v>
      </c>
      <c r="EO309">
        <v>0</v>
      </c>
      <c r="EP309">
        <v>1</v>
      </c>
      <c r="EQ309">
        <v>0</v>
      </c>
      <c r="ER309">
        <v>2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1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1</v>
      </c>
      <c r="FL309">
        <v>0</v>
      </c>
      <c r="FM309">
        <v>0</v>
      </c>
      <c r="FN309">
        <v>0</v>
      </c>
      <c r="FO309">
        <v>0</v>
      </c>
      <c r="FP309">
        <v>1</v>
      </c>
    </row>
    <row r="310" spans="1:172" ht="14.25">
      <c r="A310">
        <v>305</v>
      </c>
      <c r="B310" t="str">
        <f>"101802"</f>
        <v>101802</v>
      </c>
      <c r="C310" t="str">
        <f>"Czastary"</f>
        <v>Czastary</v>
      </c>
      <c r="D310" t="str">
        <f t="shared" si="61"/>
        <v>wieruszowski</v>
      </c>
      <c r="E310" t="str">
        <f t="shared" si="55"/>
        <v>łódzkie</v>
      </c>
      <c r="F310">
        <v>1</v>
      </c>
      <c r="G310" t="str">
        <f>"Sala OSP w Czastarach, Wolności 36, 98-410 Czastary"</f>
        <v>Sala OSP w Czastarach, Wolności 36, 98-410 Czastary</v>
      </c>
      <c r="H310">
        <v>1929</v>
      </c>
      <c r="I310">
        <v>1929</v>
      </c>
      <c r="J310">
        <v>0</v>
      </c>
      <c r="K310">
        <v>1349</v>
      </c>
      <c r="L310">
        <v>1024</v>
      </c>
      <c r="M310">
        <v>325</v>
      </c>
      <c r="N310">
        <v>325</v>
      </c>
      <c r="O310">
        <v>0</v>
      </c>
      <c r="P310">
        <v>0</v>
      </c>
      <c r="Q310">
        <v>1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325</v>
      </c>
      <c r="Z310">
        <v>0</v>
      </c>
      <c r="AA310">
        <v>0</v>
      </c>
      <c r="AB310">
        <v>325</v>
      </c>
      <c r="AC310">
        <v>13</v>
      </c>
      <c r="AD310">
        <v>312</v>
      </c>
      <c r="AE310">
        <v>9</v>
      </c>
      <c r="AF310">
        <v>5</v>
      </c>
      <c r="AG310">
        <v>1</v>
      </c>
      <c r="AH310">
        <v>0</v>
      </c>
      <c r="AI310">
        <v>0</v>
      </c>
      <c r="AJ310">
        <v>1</v>
      </c>
      <c r="AK310">
        <v>0</v>
      </c>
      <c r="AL310">
        <v>2</v>
      </c>
      <c r="AM310">
        <v>0</v>
      </c>
      <c r="AN310">
        <v>0</v>
      </c>
      <c r="AO310">
        <v>0</v>
      </c>
      <c r="AP310">
        <v>9</v>
      </c>
      <c r="AQ310">
        <v>4</v>
      </c>
      <c r="AR310">
        <v>4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4</v>
      </c>
      <c r="BC310">
        <v>13</v>
      </c>
      <c r="BD310">
        <v>8</v>
      </c>
      <c r="BE310">
        <v>0</v>
      </c>
      <c r="BF310">
        <v>2</v>
      </c>
      <c r="BG310">
        <v>1</v>
      </c>
      <c r="BH310">
        <v>0</v>
      </c>
      <c r="BI310">
        <v>2</v>
      </c>
      <c r="BJ310">
        <v>0</v>
      </c>
      <c r="BK310">
        <v>0</v>
      </c>
      <c r="BL310">
        <v>0</v>
      </c>
      <c r="BM310">
        <v>0</v>
      </c>
      <c r="BN310">
        <v>13</v>
      </c>
      <c r="BO310">
        <v>117</v>
      </c>
      <c r="BP310">
        <v>106</v>
      </c>
      <c r="BQ310">
        <v>2</v>
      </c>
      <c r="BR310">
        <v>1</v>
      </c>
      <c r="BS310">
        <v>5</v>
      </c>
      <c r="BT310">
        <v>1</v>
      </c>
      <c r="BU310">
        <v>0</v>
      </c>
      <c r="BV310">
        <v>0</v>
      </c>
      <c r="BW310">
        <v>1</v>
      </c>
      <c r="BX310">
        <v>1</v>
      </c>
      <c r="BY310">
        <v>0</v>
      </c>
      <c r="BZ310">
        <v>117</v>
      </c>
      <c r="CA310">
        <v>4</v>
      </c>
      <c r="CB310">
        <v>1</v>
      </c>
      <c r="CC310">
        <v>0</v>
      </c>
      <c r="CD310">
        <v>1</v>
      </c>
      <c r="CE310">
        <v>1</v>
      </c>
      <c r="CF310">
        <v>0</v>
      </c>
      <c r="CG310">
        <v>0</v>
      </c>
      <c r="CH310">
        <v>1</v>
      </c>
      <c r="CI310">
        <v>0</v>
      </c>
      <c r="CJ310">
        <v>0</v>
      </c>
      <c r="CK310">
        <v>0</v>
      </c>
      <c r="CL310">
        <v>4</v>
      </c>
      <c r="CM310">
        <v>6</v>
      </c>
      <c r="CN310">
        <v>5</v>
      </c>
      <c r="CO310">
        <v>0</v>
      </c>
      <c r="CP310">
        <v>0</v>
      </c>
      <c r="CQ310">
        <v>1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6</v>
      </c>
      <c r="CY310">
        <v>23</v>
      </c>
      <c r="CZ310">
        <v>11</v>
      </c>
      <c r="DA310">
        <v>4</v>
      </c>
      <c r="DB310">
        <v>1</v>
      </c>
      <c r="DC310">
        <v>1</v>
      </c>
      <c r="DD310">
        <v>0</v>
      </c>
      <c r="DE310">
        <v>0</v>
      </c>
      <c r="DF310">
        <v>0</v>
      </c>
      <c r="DG310">
        <v>2</v>
      </c>
      <c r="DH310">
        <v>4</v>
      </c>
      <c r="DI310">
        <v>0</v>
      </c>
      <c r="DJ310">
        <v>23</v>
      </c>
      <c r="DK310">
        <v>26</v>
      </c>
      <c r="DL310">
        <v>18</v>
      </c>
      <c r="DM310">
        <v>5</v>
      </c>
      <c r="DN310">
        <v>0</v>
      </c>
      <c r="DO310">
        <v>0</v>
      </c>
      <c r="DP310">
        <v>0</v>
      </c>
      <c r="DQ310">
        <v>1</v>
      </c>
      <c r="DR310">
        <v>1</v>
      </c>
      <c r="DS310">
        <v>0</v>
      </c>
      <c r="DT310">
        <v>1</v>
      </c>
      <c r="DU310">
        <v>0</v>
      </c>
      <c r="DV310">
        <v>26</v>
      </c>
      <c r="DW310">
        <v>107</v>
      </c>
      <c r="DX310">
        <v>29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78</v>
      </c>
      <c r="EE310">
        <v>0</v>
      </c>
      <c r="EF310">
        <v>0</v>
      </c>
      <c r="EG310">
        <v>0</v>
      </c>
      <c r="EH310">
        <v>107</v>
      </c>
      <c r="EI310">
        <v>1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1</v>
      </c>
      <c r="ES310">
        <v>1</v>
      </c>
      <c r="ET310">
        <v>0</v>
      </c>
      <c r="EU310">
        <v>1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1</v>
      </c>
      <c r="FE310">
        <v>1</v>
      </c>
      <c r="FF310">
        <v>0</v>
      </c>
      <c r="FG310">
        <v>1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1</v>
      </c>
    </row>
    <row r="311" spans="1:172" ht="14.25">
      <c r="A311">
        <v>306</v>
      </c>
      <c r="B311" t="str">
        <f>"101802"</f>
        <v>101802</v>
      </c>
      <c r="C311" t="str">
        <f>"Czastary"</f>
        <v>Czastary</v>
      </c>
      <c r="D311" t="str">
        <f t="shared" si="61"/>
        <v>wieruszowski</v>
      </c>
      <c r="E311" t="str">
        <f t="shared" si="55"/>
        <v>łódzkie</v>
      </c>
      <c r="F311">
        <v>2</v>
      </c>
      <c r="G311" t="str">
        <f>"Szkoła Podstawowa w Parcicach, Dworska 60, Parcice, 98-410 Czastary"</f>
        <v>Szkoła Podstawowa w Parcicach, Dworska 60, Parcice, 98-410 Czastary</v>
      </c>
      <c r="H311">
        <v>831</v>
      </c>
      <c r="I311">
        <v>831</v>
      </c>
      <c r="J311">
        <v>0</v>
      </c>
      <c r="K311">
        <v>580</v>
      </c>
      <c r="L311">
        <v>465</v>
      </c>
      <c r="M311">
        <v>115</v>
      </c>
      <c r="N311">
        <v>115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115</v>
      </c>
      <c r="Z311">
        <v>0</v>
      </c>
      <c r="AA311">
        <v>0</v>
      </c>
      <c r="AB311">
        <v>115</v>
      </c>
      <c r="AC311">
        <v>7</v>
      </c>
      <c r="AD311">
        <v>108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1</v>
      </c>
      <c r="BB311">
        <v>1</v>
      </c>
      <c r="BC311">
        <v>9</v>
      </c>
      <c r="BD311">
        <v>1</v>
      </c>
      <c r="BE311">
        <v>2</v>
      </c>
      <c r="BF311">
        <v>4</v>
      </c>
      <c r="BG311">
        <v>0</v>
      </c>
      <c r="BH311">
        <v>0</v>
      </c>
      <c r="BI311">
        <v>1</v>
      </c>
      <c r="BJ311">
        <v>1</v>
      </c>
      <c r="BK311">
        <v>0</v>
      </c>
      <c r="BL311">
        <v>0</v>
      </c>
      <c r="BM311">
        <v>0</v>
      </c>
      <c r="BN311">
        <v>9</v>
      </c>
      <c r="BO311">
        <v>38</v>
      </c>
      <c r="BP311">
        <v>33</v>
      </c>
      <c r="BQ311">
        <v>0</v>
      </c>
      <c r="BR311">
        <v>2</v>
      </c>
      <c r="BS311">
        <v>0</v>
      </c>
      <c r="BT311">
        <v>0</v>
      </c>
      <c r="BU311">
        <v>1</v>
      </c>
      <c r="BV311">
        <v>0</v>
      </c>
      <c r="BW311">
        <v>0</v>
      </c>
      <c r="BX311">
        <v>1</v>
      </c>
      <c r="BY311">
        <v>1</v>
      </c>
      <c r="BZ311">
        <v>38</v>
      </c>
      <c r="CA311">
        <v>4</v>
      </c>
      <c r="CB311">
        <v>1</v>
      </c>
      <c r="CC311">
        <v>0</v>
      </c>
      <c r="CD311">
        <v>0</v>
      </c>
      <c r="CE311">
        <v>0</v>
      </c>
      <c r="CF311">
        <v>0</v>
      </c>
      <c r="CG311">
        <v>1</v>
      </c>
      <c r="CH311">
        <v>0</v>
      </c>
      <c r="CI311">
        <v>0</v>
      </c>
      <c r="CJ311">
        <v>0</v>
      </c>
      <c r="CK311">
        <v>2</v>
      </c>
      <c r="CL311">
        <v>4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4</v>
      </c>
      <c r="CZ311">
        <v>1</v>
      </c>
      <c r="DA311">
        <v>3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4</v>
      </c>
      <c r="DK311">
        <v>13</v>
      </c>
      <c r="DL311">
        <v>5</v>
      </c>
      <c r="DM311">
        <v>5</v>
      </c>
      <c r="DN311">
        <v>0</v>
      </c>
      <c r="DO311">
        <v>0</v>
      </c>
      <c r="DP311">
        <v>1</v>
      </c>
      <c r="DQ311">
        <v>0</v>
      </c>
      <c r="DR311">
        <v>0</v>
      </c>
      <c r="DS311">
        <v>1</v>
      </c>
      <c r="DT311">
        <v>0</v>
      </c>
      <c r="DU311">
        <v>1</v>
      </c>
      <c r="DV311">
        <v>13</v>
      </c>
      <c r="DW311">
        <v>27</v>
      </c>
      <c r="DX311">
        <v>8</v>
      </c>
      <c r="DY311">
        <v>0</v>
      </c>
      <c r="DZ311">
        <v>2</v>
      </c>
      <c r="EA311">
        <v>0</v>
      </c>
      <c r="EB311">
        <v>0</v>
      </c>
      <c r="EC311">
        <v>0</v>
      </c>
      <c r="ED311">
        <v>16</v>
      </c>
      <c r="EE311">
        <v>1</v>
      </c>
      <c r="EF311">
        <v>0</v>
      </c>
      <c r="EG311">
        <v>0</v>
      </c>
      <c r="EH311">
        <v>27</v>
      </c>
      <c r="EI311">
        <v>2</v>
      </c>
      <c r="EJ311">
        <v>0</v>
      </c>
      <c r="EK311">
        <v>2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2</v>
      </c>
      <c r="ES311">
        <v>9</v>
      </c>
      <c r="ET311">
        <v>6</v>
      </c>
      <c r="EU311">
        <v>1</v>
      </c>
      <c r="EV311">
        <v>0</v>
      </c>
      <c r="EW311">
        <v>1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1</v>
      </c>
      <c r="FD311">
        <v>9</v>
      </c>
      <c r="FE311">
        <v>1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1</v>
      </c>
      <c r="FO311">
        <v>0</v>
      </c>
      <c r="FP311">
        <v>1</v>
      </c>
    </row>
    <row r="312" spans="1:172" ht="14.25">
      <c r="A312">
        <v>307</v>
      </c>
      <c r="B312" t="str">
        <f>"101802"</f>
        <v>101802</v>
      </c>
      <c r="C312" t="str">
        <f>"Czastary"</f>
        <v>Czastary</v>
      </c>
      <c r="D312" t="str">
        <f t="shared" si="61"/>
        <v>wieruszowski</v>
      </c>
      <c r="E312" t="str">
        <f t="shared" si="55"/>
        <v>łódzkie</v>
      </c>
      <c r="F312">
        <v>3</v>
      </c>
      <c r="G312" t="str">
        <f>"Szkoła Podstawowa w Radostowie Pierwszym, Radostów Pierwszy 53, 98-410 Czastary"</f>
        <v>Szkoła Podstawowa w Radostowie Pierwszym, Radostów Pierwszy 53, 98-410 Czastary</v>
      </c>
      <c r="H312">
        <v>452</v>
      </c>
      <c r="I312">
        <v>452</v>
      </c>
      <c r="J312">
        <v>0</v>
      </c>
      <c r="K312">
        <v>320</v>
      </c>
      <c r="L312">
        <v>243</v>
      </c>
      <c r="M312">
        <v>77</v>
      </c>
      <c r="N312">
        <v>77</v>
      </c>
      <c r="O312">
        <v>0</v>
      </c>
      <c r="P312">
        <v>0</v>
      </c>
      <c r="Q312">
        <v>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77</v>
      </c>
      <c r="Z312">
        <v>0</v>
      </c>
      <c r="AA312">
        <v>0</v>
      </c>
      <c r="AB312">
        <v>77</v>
      </c>
      <c r="AC312">
        <v>2</v>
      </c>
      <c r="AD312">
        <v>75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4</v>
      </c>
      <c r="BD312">
        <v>3</v>
      </c>
      <c r="BE312">
        <v>0</v>
      </c>
      <c r="BF312">
        <v>0</v>
      </c>
      <c r="BG312">
        <v>0</v>
      </c>
      <c r="BH312">
        <v>1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4</v>
      </c>
      <c r="BO312">
        <v>42</v>
      </c>
      <c r="BP312">
        <v>32</v>
      </c>
      <c r="BQ312">
        <v>1</v>
      </c>
      <c r="BR312">
        <v>0</v>
      </c>
      <c r="BS312">
        <v>9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42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1</v>
      </c>
      <c r="CN312">
        <v>1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1</v>
      </c>
      <c r="CY312">
        <v>3</v>
      </c>
      <c r="CZ312">
        <v>2</v>
      </c>
      <c r="DA312">
        <v>0</v>
      </c>
      <c r="DB312">
        <v>0</v>
      </c>
      <c r="DC312">
        <v>0</v>
      </c>
      <c r="DD312">
        <v>1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3</v>
      </c>
      <c r="DK312">
        <v>7</v>
      </c>
      <c r="DL312">
        <v>6</v>
      </c>
      <c r="DM312">
        <v>0</v>
      </c>
      <c r="DN312">
        <v>0</v>
      </c>
      <c r="DO312">
        <v>0</v>
      </c>
      <c r="DP312">
        <v>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7</v>
      </c>
      <c r="DW312">
        <v>16</v>
      </c>
      <c r="DX312">
        <v>1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15</v>
      </c>
      <c r="EE312">
        <v>0</v>
      </c>
      <c r="EF312">
        <v>0</v>
      </c>
      <c r="EG312">
        <v>0</v>
      </c>
      <c r="EH312">
        <v>16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2</v>
      </c>
      <c r="ET312">
        <v>2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2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</row>
    <row r="313" spans="1:172" ht="14.25">
      <c r="A313">
        <v>308</v>
      </c>
      <c r="B313" t="str">
        <f>"101803"</f>
        <v>101803</v>
      </c>
      <c r="C313" t="str">
        <f>"Galewice"</f>
        <v>Galewice</v>
      </c>
      <c r="D313" t="str">
        <f t="shared" si="61"/>
        <v>wieruszowski</v>
      </c>
      <c r="E313" t="str">
        <f t="shared" si="55"/>
        <v>łódzkie</v>
      </c>
      <c r="F313">
        <v>1</v>
      </c>
      <c r="G313" t="str">
        <f>"Szkoła Podstawowa w Galewicach, M.Konopnickiej 20, 98-405 Galewice"</f>
        <v>Szkoła Podstawowa w Galewicach, M.Konopnickiej 20, 98-405 Galewice</v>
      </c>
      <c r="H313">
        <v>1824</v>
      </c>
      <c r="I313">
        <v>1824</v>
      </c>
      <c r="J313">
        <v>0</v>
      </c>
      <c r="K313">
        <v>1280</v>
      </c>
      <c r="L313">
        <v>955</v>
      </c>
      <c r="M313">
        <v>325</v>
      </c>
      <c r="N313">
        <v>325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325</v>
      </c>
      <c r="Z313">
        <v>0</v>
      </c>
      <c r="AA313">
        <v>0</v>
      </c>
      <c r="AB313">
        <v>325</v>
      </c>
      <c r="AC313">
        <v>8</v>
      </c>
      <c r="AD313">
        <v>317</v>
      </c>
      <c r="AE313">
        <v>13</v>
      </c>
      <c r="AF313">
        <v>5</v>
      </c>
      <c r="AG313">
        <v>0</v>
      </c>
      <c r="AH313">
        <v>3</v>
      </c>
      <c r="AI313">
        <v>0</v>
      </c>
      <c r="AJ313">
        <v>0</v>
      </c>
      <c r="AK313">
        <v>1</v>
      </c>
      <c r="AL313">
        <v>0</v>
      </c>
      <c r="AM313">
        <v>1</v>
      </c>
      <c r="AN313">
        <v>0</v>
      </c>
      <c r="AO313">
        <v>3</v>
      </c>
      <c r="AP313">
        <v>13</v>
      </c>
      <c r="AQ313">
        <v>5</v>
      </c>
      <c r="AR313">
        <v>2</v>
      </c>
      <c r="AS313">
        <v>0</v>
      </c>
      <c r="AT313">
        <v>1</v>
      </c>
      <c r="AU313">
        <v>1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1</v>
      </c>
      <c r="BB313">
        <v>5</v>
      </c>
      <c r="BC313">
        <v>22</v>
      </c>
      <c r="BD313">
        <v>18</v>
      </c>
      <c r="BE313">
        <v>1</v>
      </c>
      <c r="BF313">
        <v>0</v>
      </c>
      <c r="BG313">
        <v>0</v>
      </c>
      <c r="BH313">
        <v>0</v>
      </c>
      <c r="BI313">
        <v>2</v>
      </c>
      <c r="BJ313">
        <v>0</v>
      </c>
      <c r="BK313">
        <v>0</v>
      </c>
      <c r="BL313">
        <v>0</v>
      </c>
      <c r="BM313">
        <v>1</v>
      </c>
      <c r="BN313">
        <v>22</v>
      </c>
      <c r="BO313">
        <v>120</v>
      </c>
      <c r="BP313">
        <v>85</v>
      </c>
      <c r="BQ313">
        <v>6</v>
      </c>
      <c r="BR313">
        <v>2</v>
      </c>
      <c r="BS313">
        <v>21</v>
      </c>
      <c r="BT313">
        <v>1</v>
      </c>
      <c r="BU313">
        <v>1</v>
      </c>
      <c r="BV313">
        <v>1</v>
      </c>
      <c r="BW313">
        <v>0</v>
      </c>
      <c r="BX313">
        <v>1</v>
      </c>
      <c r="BY313">
        <v>2</v>
      </c>
      <c r="BZ313">
        <v>120</v>
      </c>
      <c r="CA313">
        <v>5</v>
      </c>
      <c r="CB313">
        <v>2</v>
      </c>
      <c r="CC313">
        <v>2</v>
      </c>
      <c r="CD313">
        <v>1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5</v>
      </c>
      <c r="CM313">
        <v>9</v>
      </c>
      <c r="CN313">
        <v>4</v>
      </c>
      <c r="CO313">
        <v>1</v>
      </c>
      <c r="CP313">
        <v>0</v>
      </c>
      <c r="CQ313">
        <v>0</v>
      </c>
      <c r="CR313">
        <v>0</v>
      </c>
      <c r="CS313">
        <v>2</v>
      </c>
      <c r="CT313">
        <v>1</v>
      </c>
      <c r="CU313">
        <v>1</v>
      </c>
      <c r="CV313">
        <v>0</v>
      </c>
      <c r="CW313">
        <v>0</v>
      </c>
      <c r="CX313">
        <v>9</v>
      </c>
      <c r="CY313">
        <v>13</v>
      </c>
      <c r="CZ313">
        <v>3</v>
      </c>
      <c r="DA313">
        <v>2</v>
      </c>
      <c r="DB313">
        <v>2</v>
      </c>
      <c r="DC313">
        <v>3</v>
      </c>
      <c r="DD313">
        <v>0</v>
      </c>
      <c r="DE313">
        <v>0</v>
      </c>
      <c r="DF313">
        <v>0</v>
      </c>
      <c r="DG313">
        <v>1</v>
      </c>
      <c r="DH313">
        <v>0</v>
      </c>
      <c r="DI313">
        <v>2</v>
      </c>
      <c r="DJ313">
        <v>13</v>
      </c>
      <c r="DK313">
        <v>36</v>
      </c>
      <c r="DL313">
        <v>19</v>
      </c>
      <c r="DM313">
        <v>4</v>
      </c>
      <c r="DN313">
        <v>2</v>
      </c>
      <c r="DO313">
        <v>1</v>
      </c>
      <c r="DP313">
        <v>0</v>
      </c>
      <c r="DQ313">
        <v>4</v>
      </c>
      <c r="DR313">
        <v>2</v>
      </c>
      <c r="DS313">
        <v>3</v>
      </c>
      <c r="DT313">
        <v>0</v>
      </c>
      <c r="DU313">
        <v>1</v>
      </c>
      <c r="DV313">
        <v>36</v>
      </c>
      <c r="DW313">
        <v>88</v>
      </c>
      <c r="DX313">
        <v>9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77</v>
      </c>
      <c r="EE313">
        <v>1</v>
      </c>
      <c r="EF313">
        <v>1</v>
      </c>
      <c r="EG313">
        <v>0</v>
      </c>
      <c r="EH313">
        <v>88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3</v>
      </c>
      <c r="ET313">
        <v>1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1</v>
      </c>
      <c r="FB313">
        <v>0</v>
      </c>
      <c r="FC313">
        <v>1</v>
      </c>
      <c r="FD313">
        <v>3</v>
      </c>
      <c r="FE313">
        <v>3</v>
      </c>
      <c r="FF313">
        <v>1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2</v>
      </c>
      <c r="FP313">
        <v>3</v>
      </c>
    </row>
    <row r="314" spans="1:172" ht="14.25">
      <c r="A314">
        <v>309</v>
      </c>
      <c r="B314" t="str">
        <f>"101803"</f>
        <v>101803</v>
      </c>
      <c r="C314" t="str">
        <f>"Galewice"</f>
        <v>Galewice</v>
      </c>
      <c r="D314" t="str">
        <f t="shared" si="61"/>
        <v>wieruszowski</v>
      </c>
      <c r="E314" t="str">
        <f t="shared" si="55"/>
        <v>łódzkie</v>
      </c>
      <c r="F314">
        <v>2</v>
      </c>
      <c r="G314" t="str">
        <f>"Wiejski Dom Kultury w Osieku, Osiek 105a, 98-405 Galewice"</f>
        <v>Wiejski Dom Kultury w Osieku, Osiek 105a, 98-405 Galewice</v>
      </c>
      <c r="H314">
        <v>909</v>
      </c>
      <c r="I314">
        <v>909</v>
      </c>
      <c r="J314">
        <v>0</v>
      </c>
      <c r="K314">
        <v>640</v>
      </c>
      <c r="L314">
        <v>463</v>
      </c>
      <c r="M314">
        <v>177</v>
      </c>
      <c r="N314">
        <v>177</v>
      </c>
      <c r="O314">
        <v>0</v>
      </c>
      <c r="P314">
        <v>0</v>
      </c>
      <c r="Q314">
        <v>1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177</v>
      </c>
      <c r="Z314">
        <v>0</v>
      </c>
      <c r="AA314">
        <v>0</v>
      </c>
      <c r="AB314">
        <v>177</v>
      </c>
      <c r="AC314">
        <v>15</v>
      </c>
      <c r="AD314">
        <v>162</v>
      </c>
      <c r="AE314">
        <v>8</v>
      </c>
      <c r="AF314">
        <v>5</v>
      </c>
      <c r="AG314">
        <v>2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1</v>
      </c>
      <c r="AO314">
        <v>0</v>
      </c>
      <c r="AP314">
        <v>8</v>
      </c>
      <c r="AQ314">
        <v>2</v>
      </c>
      <c r="AR314">
        <v>2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2</v>
      </c>
      <c r="BC314">
        <v>5</v>
      </c>
      <c r="BD314">
        <v>2</v>
      </c>
      <c r="BE314">
        <v>1</v>
      </c>
      <c r="BF314">
        <v>1</v>
      </c>
      <c r="BG314">
        <v>0</v>
      </c>
      <c r="BH314">
        <v>1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5</v>
      </c>
      <c r="BO314">
        <v>75</v>
      </c>
      <c r="BP314">
        <v>67</v>
      </c>
      <c r="BQ314">
        <v>3</v>
      </c>
      <c r="BR314">
        <v>0</v>
      </c>
      <c r="BS314">
        <v>1</v>
      </c>
      <c r="BT314">
        <v>1</v>
      </c>
      <c r="BU314">
        <v>0</v>
      </c>
      <c r="BV314">
        <v>2</v>
      </c>
      <c r="BW314">
        <v>0</v>
      </c>
      <c r="BX314">
        <v>0</v>
      </c>
      <c r="BY314">
        <v>1</v>
      </c>
      <c r="BZ314">
        <v>75</v>
      </c>
      <c r="CA314">
        <v>1</v>
      </c>
      <c r="CB314">
        <v>0</v>
      </c>
      <c r="CC314">
        <v>0</v>
      </c>
      <c r="CD314">
        <v>1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7</v>
      </c>
      <c r="CN314">
        <v>2</v>
      </c>
      <c r="CO314">
        <v>2</v>
      </c>
      <c r="CP314">
        <v>1</v>
      </c>
      <c r="CQ314">
        <v>0</v>
      </c>
      <c r="CR314">
        <v>2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7</v>
      </c>
      <c r="CY314">
        <v>8</v>
      </c>
      <c r="CZ314">
        <v>6</v>
      </c>
      <c r="DA314">
        <v>0</v>
      </c>
      <c r="DB314">
        <v>1</v>
      </c>
      <c r="DC314">
        <v>0</v>
      </c>
      <c r="DD314">
        <v>1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8</v>
      </c>
      <c r="DK314">
        <v>24</v>
      </c>
      <c r="DL314">
        <v>15</v>
      </c>
      <c r="DM314">
        <v>4</v>
      </c>
      <c r="DN314">
        <v>0</v>
      </c>
      <c r="DO314">
        <v>0</v>
      </c>
      <c r="DP314">
        <v>0</v>
      </c>
      <c r="DQ314">
        <v>2</v>
      </c>
      <c r="DR314">
        <v>0</v>
      </c>
      <c r="DS314">
        <v>0</v>
      </c>
      <c r="DT314">
        <v>0</v>
      </c>
      <c r="DU314">
        <v>3</v>
      </c>
      <c r="DV314">
        <v>24</v>
      </c>
      <c r="DW314">
        <v>29</v>
      </c>
      <c r="DX314">
        <v>2</v>
      </c>
      <c r="DY314">
        <v>0</v>
      </c>
      <c r="DZ314">
        <v>0</v>
      </c>
      <c r="EA314">
        <v>0</v>
      </c>
      <c r="EB314">
        <v>0</v>
      </c>
      <c r="EC314">
        <v>3</v>
      </c>
      <c r="ED314">
        <v>24</v>
      </c>
      <c r="EE314">
        <v>0</v>
      </c>
      <c r="EF314">
        <v>0</v>
      </c>
      <c r="EG314">
        <v>0</v>
      </c>
      <c r="EH314">
        <v>29</v>
      </c>
      <c r="EI314">
        <v>1</v>
      </c>
      <c r="EJ314">
        <v>0</v>
      </c>
      <c r="EK314">
        <v>1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1</v>
      </c>
      <c r="ES314">
        <v>2</v>
      </c>
      <c r="ET314">
        <v>1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1</v>
      </c>
      <c r="FD314">
        <v>2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</row>
    <row r="315" spans="1:172" ht="14.25">
      <c r="A315">
        <v>310</v>
      </c>
      <c r="B315" t="str">
        <f>"101803"</f>
        <v>101803</v>
      </c>
      <c r="C315" t="str">
        <f>"Galewice"</f>
        <v>Galewice</v>
      </c>
      <c r="D315" t="str">
        <f t="shared" si="61"/>
        <v>wieruszowski</v>
      </c>
      <c r="E315" t="str">
        <f t="shared" si="55"/>
        <v>łódzkie</v>
      </c>
      <c r="F315">
        <v>3</v>
      </c>
      <c r="G315" t="str">
        <f>"Świetlica Wiejska w Węglewicach, Kopernika 8, Węglewice, 98-405 Galewice"</f>
        <v>Świetlica Wiejska w Węglewicach, Kopernika 8, Węglewice, 98-405 Galewice</v>
      </c>
      <c r="H315">
        <v>692</v>
      </c>
      <c r="I315">
        <v>692</v>
      </c>
      <c r="J315">
        <v>0</v>
      </c>
      <c r="K315">
        <v>488</v>
      </c>
      <c r="L315">
        <v>367</v>
      </c>
      <c r="M315">
        <v>121</v>
      </c>
      <c r="N315">
        <v>121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121</v>
      </c>
      <c r="Z315">
        <v>0</v>
      </c>
      <c r="AA315">
        <v>0</v>
      </c>
      <c r="AB315">
        <v>121</v>
      </c>
      <c r="AC315">
        <v>2</v>
      </c>
      <c r="AD315">
        <v>119</v>
      </c>
      <c r="AE315">
        <v>1</v>
      </c>
      <c r="AF315">
        <v>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1</v>
      </c>
      <c r="AQ315">
        <v>3</v>
      </c>
      <c r="AR315">
        <v>1</v>
      </c>
      <c r="AS315">
        <v>0</v>
      </c>
      <c r="AT315">
        <v>1</v>
      </c>
      <c r="AU315">
        <v>0</v>
      </c>
      <c r="AV315">
        <v>1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3</v>
      </c>
      <c r="BC315">
        <v>8</v>
      </c>
      <c r="BD315">
        <v>5</v>
      </c>
      <c r="BE315">
        <v>1</v>
      </c>
      <c r="BF315">
        <v>0</v>
      </c>
      <c r="BG315">
        <v>0</v>
      </c>
      <c r="BH315">
        <v>1</v>
      </c>
      <c r="BI315">
        <v>1</v>
      </c>
      <c r="BJ315">
        <v>0</v>
      </c>
      <c r="BK315">
        <v>0</v>
      </c>
      <c r="BL315">
        <v>0</v>
      </c>
      <c r="BM315">
        <v>0</v>
      </c>
      <c r="BN315">
        <v>8</v>
      </c>
      <c r="BO315">
        <v>44</v>
      </c>
      <c r="BP315">
        <v>37</v>
      </c>
      <c r="BQ315">
        <v>1</v>
      </c>
      <c r="BR315">
        <v>0</v>
      </c>
      <c r="BS315">
        <v>3</v>
      </c>
      <c r="BT315">
        <v>0</v>
      </c>
      <c r="BU315">
        <v>0</v>
      </c>
      <c r="BV315">
        <v>2</v>
      </c>
      <c r="BW315">
        <v>1</v>
      </c>
      <c r="BX315">
        <v>0</v>
      </c>
      <c r="BY315">
        <v>0</v>
      </c>
      <c r="BZ315">
        <v>44</v>
      </c>
      <c r="CA315">
        <v>1</v>
      </c>
      <c r="CB315">
        <v>0</v>
      </c>
      <c r="CC315">
        <v>0</v>
      </c>
      <c r="CD315">
        <v>0</v>
      </c>
      <c r="CE315">
        <v>1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1</v>
      </c>
      <c r="CM315">
        <v>3</v>
      </c>
      <c r="CN315">
        <v>2</v>
      </c>
      <c r="CO315">
        <v>0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3</v>
      </c>
      <c r="CY315">
        <v>9</v>
      </c>
      <c r="CZ315">
        <v>6</v>
      </c>
      <c r="DA315">
        <v>2</v>
      </c>
      <c r="DB315">
        <v>0</v>
      </c>
      <c r="DC315">
        <v>0</v>
      </c>
      <c r="DD315">
        <v>1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9</v>
      </c>
      <c r="DK315">
        <v>21</v>
      </c>
      <c r="DL315">
        <v>11</v>
      </c>
      <c r="DM315">
        <v>2</v>
      </c>
      <c r="DN315">
        <v>2</v>
      </c>
      <c r="DO315">
        <v>1</v>
      </c>
      <c r="DP315">
        <v>0</v>
      </c>
      <c r="DQ315">
        <v>2</v>
      </c>
      <c r="DR315">
        <v>0</v>
      </c>
      <c r="DS315">
        <v>2</v>
      </c>
      <c r="DT315">
        <v>0</v>
      </c>
      <c r="DU315">
        <v>1</v>
      </c>
      <c r="DV315">
        <v>21</v>
      </c>
      <c r="DW315">
        <v>29</v>
      </c>
      <c r="DX315">
        <v>4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25</v>
      </c>
      <c r="EE315">
        <v>0</v>
      </c>
      <c r="EF315">
        <v>0</v>
      </c>
      <c r="EG315">
        <v>0</v>
      </c>
      <c r="EH315">
        <v>29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</row>
    <row r="316" spans="1:172" ht="14.25">
      <c r="A316">
        <v>311</v>
      </c>
      <c r="B316" t="str">
        <f>"101803"</f>
        <v>101803</v>
      </c>
      <c r="C316" t="str">
        <f>"Galewice"</f>
        <v>Galewice</v>
      </c>
      <c r="D316" t="str">
        <f t="shared" si="61"/>
        <v>wieruszowski</v>
      </c>
      <c r="E316" t="str">
        <f t="shared" si="55"/>
        <v>łódzkie</v>
      </c>
      <c r="F316">
        <v>4</v>
      </c>
      <c r="G316" t="str">
        <f>"Szkoła Podstawowa w Ostrówku, Ostrówek 15, 98-405 Galewice"</f>
        <v>Szkoła Podstawowa w Ostrówku, Ostrówek 15, 98-405 Galewice</v>
      </c>
      <c r="H316">
        <v>1141</v>
      </c>
      <c r="I316">
        <v>1141</v>
      </c>
      <c r="J316">
        <v>0</v>
      </c>
      <c r="K316">
        <v>800</v>
      </c>
      <c r="L316">
        <v>687</v>
      </c>
      <c r="M316">
        <v>113</v>
      </c>
      <c r="N316">
        <v>113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113</v>
      </c>
      <c r="Z316">
        <v>0</v>
      </c>
      <c r="AA316">
        <v>0</v>
      </c>
      <c r="AB316">
        <v>113</v>
      </c>
      <c r="AC316">
        <v>5</v>
      </c>
      <c r="AD316">
        <v>108</v>
      </c>
      <c r="AE316">
        <v>7</v>
      </c>
      <c r="AF316">
        <v>3</v>
      </c>
      <c r="AG316">
        <v>0</v>
      </c>
      <c r="AH316">
        <v>0</v>
      </c>
      <c r="AI316">
        <v>3</v>
      </c>
      <c r="AJ316">
        <v>0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7</v>
      </c>
      <c r="AQ316">
        <v>1</v>
      </c>
      <c r="AR316">
        <v>1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1</v>
      </c>
      <c r="BC316">
        <v>12</v>
      </c>
      <c r="BD316">
        <v>6</v>
      </c>
      <c r="BE316">
        <v>1</v>
      </c>
      <c r="BF316">
        <v>4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1</v>
      </c>
      <c r="BN316">
        <v>12</v>
      </c>
      <c r="BO316">
        <v>36</v>
      </c>
      <c r="BP316">
        <v>27</v>
      </c>
      <c r="BQ316">
        <v>2</v>
      </c>
      <c r="BR316">
        <v>1</v>
      </c>
      <c r="BS316">
        <v>3</v>
      </c>
      <c r="BT316">
        <v>0</v>
      </c>
      <c r="BU316">
        <v>0</v>
      </c>
      <c r="BV316">
        <v>1</v>
      </c>
      <c r="BW316">
        <v>1</v>
      </c>
      <c r="BX316">
        <v>0</v>
      </c>
      <c r="BY316">
        <v>1</v>
      </c>
      <c r="BZ316">
        <v>36</v>
      </c>
      <c r="CA316">
        <v>1</v>
      </c>
      <c r="CB316">
        <v>0</v>
      </c>
      <c r="CC316">
        <v>0</v>
      </c>
      <c r="CD316">
        <v>1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1</v>
      </c>
      <c r="CM316">
        <v>3</v>
      </c>
      <c r="CN316">
        <v>3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3</v>
      </c>
      <c r="CY316">
        <v>7</v>
      </c>
      <c r="CZ316">
        <v>4</v>
      </c>
      <c r="DA316">
        <v>0</v>
      </c>
      <c r="DB316">
        <v>0</v>
      </c>
      <c r="DC316">
        <v>1</v>
      </c>
      <c r="DD316">
        <v>1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7</v>
      </c>
      <c r="DK316">
        <v>7</v>
      </c>
      <c r="DL316">
        <v>5</v>
      </c>
      <c r="DM316">
        <v>1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1</v>
      </c>
      <c r="DT316">
        <v>0</v>
      </c>
      <c r="DU316">
        <v>0</v>
      </c>
      <c r="DV316">
        <v>7</v>
      </c>
      <c r="DW316">
        <v>29</v>
      </c>
      <c r="DX316">
        <v>2</v>
      </c>
      <c r="DY316">
        <v>3</v>
      </c>
      <c r="DZ316">
        <v>0</v>
      </c>
      <c r="EA316">
        <v>0</v>
      </c>
      <c r="EB316">
        <v>1</v>
      </c>
      <c r="EC316">
        <v>0</v>
      </c>
      <c r="ED316">
        <v>22</v>
      </c>
      <c r="EE316">
        <v>0</v>
      </c>
      <c r="EF316">
        <v>1</v>
      </c>
      <c r="EG316">
        <v>0</v>
      </c>
      <c r="EH316">
        <v>29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2</v>
      </c>
      <c r="ET316">
        <v>2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2</v>
      </c>
      <c r="FE316">
        <v>3</v>
      </c>
      <c r="FF316">
        <v>0</v>
      </c>
      <c r="FG316">
        <v>1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1</v>
      </c>
      <c r="FO316">
        <v>1</v>
      </c>
      <c r="FP316">
        <v>3</v>
      </c>
    </row>
    <row r="317" spans="1:172" ht="14.25">
      <c r="A317">
        <v>312</v>
      </c>
      <c r="B317" t="str">
        <f>"101803"</f>
        <v>101803</v>
      </c>
      <c r="C317" t="str">
        <f>"Galewice"</f>
        <v>Galewice</v>
      </c>
      <c r="D317" t="str">
        <f t="shared" si="61"/>
        <v>wieruszowski</v>
      </c>
      <c r="E317" t="str">
        <f t="shared" si="55"/>
        <v>łódzkie</v>
      </c>
      <c r="F317">
        <v>5</v>
      </c>
      <c r="G317" t="str">
        <f>"Szkoła Podstawowa w Biadaszkach, Biadaszki 29A, 98-405 Galewice"</f>
        <v>Szkoła Podstawowa w Biadaszkach, Biadaszki 29A, 98-405 Galewice</v>
      </c>
      <c r="H317">
        <v>405</v>
      </c>
      <c r="I317">
        <v>405</v>
      </c>
      <c r="J317">
        <v>0</v>
      </c>
      <c r="K317">
        <v>280</v>
      </c>
      <c r="L317">
        <v>220</v>
      </c>
      <c r="M317">
        <v>60</v>
      </c>
      <c r="N317">
        <v>60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60</v>
      </c>
      <c r="Z317">
        <v>0</v>
      </c>
      <c r="AA317">
        <v>0</v>
      </c>
      <c r="AB317">
        <v>60</v>
      </c>
      <c r="AC317">
        <v>2</v>
      </c>
      <c r="AD317">
        <v>58</v>
      </c>
      <c r="AE317">
        <v>2</v>
      </c>
      <c r="AF317">
        <v>2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2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2</v>
      </c>
      <c r="BD317">
        <v>0</v>
      </c>
      <c r="BE317">
        <v>1</v>
      </c>
      <c r="BF317">
        <v>1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2</v>
      </c>
      <c r="BO317">
        <v>24</v>
      </c>
      <c r="BP317">
        <v>15</v>
      </c>
      <c r="BQ317">
        <v>3</v>
      </c>
      <c r="BR317">
        <v>3</v>
      </c>
      <c r="BS317">
        <v>0</v>
      </c>
      <c r="BT317">
        <v>0</v>
      </c>
      <c r="BU317">
        <v>0</v>
      </c>
      <c r="BV317">
        <v>1</v>
      </c>
      <c r="BW317">
        <v>2</v>
      </c>
      <c r="BX317">
        <v>0</v>
      </c>
      <c r="BY317">
        <v>0</v>
      </c>
      <c r="BZ317">
        <v>24</v>
      </c>
      <c r="CA317">
        <v>3</v>
      </c>
      <c r="CB317">
        <v>0</v>
      </c>
      <c r="CC317">
        <v>1</v>
      </c>
      <c r="CD317">
        <v>0</v>
      </c>
      <c r="CE317">
        <v>0</v>
      </c>
      <c r="CF317">
        <v>0</v>
      </c>
      <c r="CG317">
        <v>0</v>
      </c>
      <c r="CH317">
        <v>2</v>
      </c>
      <c r="CI317">
        <v>0</v>
      </c>
      <c r="CJ317">
        <v>0</v>
      </c>
      <c r="CK317">
        <v>0</v>
      </c>
      <c r="CL317">
        <v>3</v>
      </c>
      <c r="CM317">
        <v>1</v>
      </c>
      <c r="CN317">
        <v>1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1</v>
      </c>
      <c r="CY317">
        <v>6</v>
      </c>
      <c r="CZ317">
        <v>3</v>
      </c>
      <c r="DA317">
        <v>1</v>
      </c>
      <c r="DB317">
        <v>0</v>
      </c>
      <c r="DC317">
        <v>0</v>
      </c>
      <c r="DD317">
        <v>0</v>
      </c>
      <c r="DE317">
        <v>1</v>
      </c>
      <c r="DF317">
        <v>1</v>
      </c>
      <c r="DG317">
        <v>0</v>
      </c>
      <c r="DH317">
        <v>0</v>
      </c>
      <c r="DI317">
        <v>0</v>
      </c>
      <c r="DJ317">
        <v>6</v>
      </c>
      <c r="DK317">
        <v>10</v>
      </c>
      <c r="DL317">
        <v>1</v>
      </c>
      <c r="DM317">
        <v>1</v>
      </c>
      <c r="DN317">
        <v>2</v>
      </c>
      <c r="DO317">
        <v>0</v>
      </c>
      <c r="DP317">
        <v>2</v>
      </c>
      <c r="DQ317">
        <v>2</v>
      </c>
      <c r="DR317">
        <v>1</v>
      </c>
      <c r="DS317">
        <v>0</v>
      </c>
      <c r="DT317">
        <v>0</v>
      </c>
      <c r="DU317">
        <v>1</v>
      </c>
      <c r="DV317">
        <v>10</v>
      </c>
      <c r="DW317">
        <v>9</v>
      </c>
      <c r="DX317">
        <v>1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8</v>
      </c>
      <c r="EE317">
        <v>0</v>
      </c>
      <c r="EF317">
        <v>0</v>
      </c>
      <c r="EG317">
        <v>0</v>
      </c>
      <c r="EH317">
        <v>9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1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1</v>
      </c>
      <c r="FN317">
        <v>0</v>
      </c>
      <c r="FO317">
        <v>0</v>
      </c>
      <c r="FP317">
        <v>1</v>
      </c>
    </row>
    <row r="318" spans="1:172" ht="14.25">
      <c r="A318">
        <v>313</v>
      </c>
      <c r="B318" t="str">
        <f aca="true" t="shared" si="62" ref="B318:B323">"101804"</f>
        <v>101804</v>
      </c>
      <c r="C318" t="str">
        <f aca="true" t="shared" si="63" ref="C318:C323">"Lututów"</f>
        <v>Lututów</v>
      </c>
      <c r="D318" t="str">
        <f t="shared" si="61"/>
        <v>wieruszowski</v>
      </c>
      <c r="E318" t="str">
        <f t="shared" si="55"/>
        <v>łódzkie</v>
      </c>
      <c r="F318">
        <v>1</v>
      </c>
      <c r="G318" t="str">
        <f>"Szkoła Podstawowa w Lututowie, Wieruszowska 28A, 98-360 Lututów"</f>
        <v>Szkoła Podstawowa w Lututowie, Wieruszowska 28A, 98-360 Lututów</v>
      </c>
      <c r="H318">
        <v>799</v>
      </c>
      <c r="I318">
        <v>799</v>
      </c>
      <c r="J318">
        <v>0</v>
      </c>
      <c r="K318">
        <v>560</v>
      </c>
      <c r="L318">
        <v>363</v>
      </c>
      <c r="M318">
        <v>197</v>
      </c>
      <c r="N318">
        <v>197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197</v>
      </c>
      <c r="Z318">
        <v>0</v>
      </c>
      <c r="AA318">
        <v>0</v>
      </c>
      <c r="AB318">
        <v>197</v>
      </c>
      <c r="AC318">
        <v>17</v>
      </c>
      <c r="AD318">
        <v>180</v>
      </c>
      <c r="AE318">
        <v>2</v>
      </c>
      <c r="AF318">
        <v>0</v>
      </c>
      <c r="AG318">
        <v>0</v>
      </c>
      <c r="AH318">
        <v>0</v>
      </c>
      <c r="AI318">
        <v>0</v>
      </c>
      <c r="AJ318">
        <v>2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2</v>
      </c>
      <c r="AQ318">
        <v>1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1</v>
      </c>
      <c r="AZ318">
        <v>0</v>
      </c>
      <c r="BA318">
        <v>0</v>
      </c>
      <c r="BB318">
        <v>1</v>
      </c>
      <c r="BC318">
        <v>27</v>
      </c>
      <c r="BD318">
        <v>14</v>
      </c>
      <c r="BE318">
        <v>0</v>
      </c>
      <c r="BF318">
        <v>1</v>
      </c>
      <c r="BG318">
        <v>1</v>
      </c>
      <c r="BH318">
        <v>5</v>
      </c>
      <c r="BI318">
        <v>3</v>
      </c>
      <c r="BJ318">
        <v>0</v>
      </c>
      <c r="BK318">
        <v>0</v>
      </c>
      <c r="BL318">
        <v>0</v>
      </c>
      <c r="BM318">
        <v>3</v>
      </c>
      <c r="BN318">
        <v>27</v>
      </c>
      <c r="BO318">
        <v>55</v>
      </c>
      <c r="BP318">
        <v>52</v>
      </c>
      <c r="BQ318">
        <v>0</v>
      </c>
      <c r="BR318">
        <v>0</v>
      </c>
      <c r="BS318">
        <v>3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55</v>
      </c>
      <c r="CA318">
        <v>8</v>
      </c>
      <c r="CB318">
        <v>3</v>
      </c>
      <c r="CC318">
        <v>1</v>
      </c>
      <c r="CD318">
        <v>0</v>
      </c>
      <c r="CE318">
        <v>2</v>
      </c>
      <c r="CF318">
        <v>0</v>
      </c>
      <c r="CG318">
        <v>1</v>
      </c>
      <c r="CH318">
        <v>0</v>
      </c>
      <c r="CI318">
        <v>0</v>
      </c>
      <c r="CJ318">
        <v>0</v>
      </c>
      <c r="CK318">
        <v>1</v>
      </c>
      <c r="CL318">
        <v>8</v>
      </c>
      <c r="CM318">
        <v>5</v>
      </c>
      <c r="CN318">
        <v>5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5</v>
      </c>
      <c r="CY318">
        <v>10</v>
      </c>
      <c r="CZ318">
        <v>4</v>
      </c>
      <c r="DA318">
        <v>2</v>
      </c>
      <c r="DB318">
        <v>0</v>
      </c>
      <c r="DC318">
        <v>0</v>
      </c>
      <c r="DD318">
        <v>1</v>
      </c>
      <c r="DE318">
        <v>1</v>
      </c>
      <c r="DF318">
        <v>0</v>
      </c>
      <c r="DG318">
        <v>0</v>
      </c>
      <c r="DH318">
        <v>1</v>
      </c>
      <c r="DI318">
        <v>1</v>
      </c>
      <c r="DJ318">
        <v>10</v>
      </c>
      <c r="DK318">
        <v>32</v>
      </c>
      <c r="DL318">
        <v>23</v>
      </c>
      <c r="DM318">
        <v>2</v>
      </c>
      <c r="DN318">
        <v>0</v>
      </c>
      <c r="DO318">
        <v>2</v>
      </c>
      <c r="DP318">
        <v>3</v>
      </c>
      <c r="DQ318">
        <v>1</v>
      </c>
      <c r="DR318">
        <v>0</v>
      </c>
      <c r="DS318">
        <v>1</v>
      </c>
      <c r="DT318">
        <v>0</v>
      </c>
      <c r="DU318">
        <v>0</v>
      </c>
      <c r="DV318">
        <v>32</v>
      </c>
      <c r="DW318">
        <v>39</v>
      </c>
      <c r="DX318">
        <v>12</v>
      </c>
      <c r="DY318">
        <v>3</v>
      </c>
      <c r="DZ318">
        <v>0</v>
      </c>
      <c r="EA318">
        <v>2</v>
      </c>
      <c r="EB318">
        <v>0</v>
      </c>
      <c r="EC318">
        <v>4</v>
      </c>
      <c r="ED318">
        <v>18</v>
      </c>
      <c r="EE318">
        <v>0</v>
      </c>
      <c r="EF318">
        <v>0</v>
      </c>
      <c r="EG318">
        <v>0</v>
      </c>
      <c r="EH318">
        <v>39</v>
      </c>
      <c r="EI318">
        <v>1</v>
      </c>
      <c r="EJ318">
        <v>0</v>
      </c>
      <c r="EK318">
        <v>1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1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</row>
    <row r="319" spans="1:172" ht="14.25">
      <c r="A319">
        <v>314</v>
      </c>
      <c r="B319" t="str">
        <f t="shared" si="62"/>
        <v>101804</v>
      </c>
      <c r="C319" t="str">
        <f t="shared" si="63"/>
        <v>Lututów</v>
      </c>
      <c r="D319" t="str">
        <f t="shared" si="61"/>
        <v>wieruszowski</v>
      </c>
      <c r="E319" t="str">
        <f t="shared" si="55"/>
        <v>łódzkie</v>
      </c>
      <c r="F319">
        <v>2</v>
      </c>
      <c r="G319" t="str">
        <f>"Szkoła Podstawowa w Niemojewie, Lipowa 19, 98-360 Lututów"</f>
        <v>Szkoła Podstawowa w Niemojewie, Lipowa 19, 98-360 Lututów</v>
      </c>
      <c r="H319">
        <v>724</v>
      </c>
      <c r="I319">
        <v>724</v>
      </c>
      <c r="J319">
        <v>0</v>
      </c>
      <c r="K319">
        <v>510</v>
      </c>
      <c r="L319">
        <v>359</v>
      </c>
      <c r="M319">
        <v>151</v>
      </c>
      <c r="N319">
        <v>151</v>
      </c>
      <c r="O319">
        <v>0</v>
      </c>
      <c r="P319">
        <v>1</v>
      </c>
      <c r="Q319">
        <v>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151</v>
      </c>
      <c r="Z319">
        <v>0</v>
      </c>
      <c r="AA319">
        <v>0</v>
      </c>
      <c r="AB319">
        <v>151</v>
      </c>
      <c r="AC319">
        <v>2</v>
      </c>
      <c r="AD319">
        <v>149</v>
      </c>
      <c r="AE319">
        <v>2</v>
      </c>
      <c r="AF319">
        <v>1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1</v>
      </c>
      <c r="AM319">
        <v>0</v>
      </c>
      <c r="AN319">
        <v>0</v>
      </c>
      <c r="AO319">
        <v>0</v>
      </c>
      <c r="AP319">
        <v>2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17</v>
      </c>
      <c r="BD319">
        <v>5</v>
      </c>
      <c r="BE319">
        <v>2</v>
      </c>
      <c r="BF319">
        <v>3</v>
      </c>
      <c r="BG319">
        <v>2</v>
      </c>
      <c r="BH319">
        <v>1</v>
      </c>
      <c r="BI319">
        <v>0</v>
      </c>
      <c r="BJ319">
        <v>3</v>
      </c>
      <c r="BK319">
        <v>0</v>
      </c>
      <c r="BL319">
        <v>0</v>
      </c>
      <c r="BM319">
        <v>1</v>
      </c>
      <c r="BN319">
        <v>17</v>
      </c>
      <c r="BO319">
        <v>76</v>
      </c>
      <c r="BP319">
        <v>64</v>
      </c>
      <c r="BQ319">
        <v>3</v>
      </c>
      <c r="BR319">
        <v>2</v>
      </c>
      <c r="BS319">
        <v>4</v>
      </c>
      <c r="BT319">
        <v>0</v>
      </c>
      <c r="BU319">
        <v>0</v>
      </c>
      <c r="BV319">
        <v>0</v>
      </c>
      <c r="BW319">
        <v>0</v>
      </c>
      <c r="BX319">
        <v>1</v>
      </c>
      <c r="BY319">
        <v>2</v>
      </c>
      <c r="BZ319">
        <v>76</v>
      </c>
      <c r="CA319">
        <v>4</v>
      </c>
      <c r="CB319">
        <v>0</v>
      </c>
      <c r="CC319">
        <v>0</v>
      </c>
      <c r="CD319">
        <v>0</v>
      </c>
      <c r="CE319">
        <v>1</v>
      </c>
      <c r="CF319">
        <v>0</v>
      </c>
      <c r="CG319">
        <v>0</v>
      </c>
      <c r="CH319">
        <v>0</v>
      </c>
      <c r="CI319">
        <v>3</v>
      </c>
      <c r="CJ319">
        <v>0</v>
      </c>
      <c r="CK319">
        <v>0</v>
      </c>
      <c r="CL319">
        <v>4</v>
      </c>
      <c r="CM319">
        <v>2</v>
      </c>
      <c r="CN319">
        <v>2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2</v>
      </c>
      <c r="CY319">
        <v>7</v>
      </c>
      <c r="CZ319">
        <v>4</v>
      </c>
      <c r="DA319">
        <v>1</v>
      </c>
      <c r="DB319">
        <v>0</v>
      </c>
      <c r="DC319">
        <v>0</v>
      </c>
      <c r="DD319">
        <v>1</v>
      </c>
      <c r="DE319">
        <v>1</v>
      </c>
      <c r="DF319">
        <v>0</v>
      </c>
      <c r="DG319">
        <v>0</v>
      </c>
      <c r="DH319">
        <v>0</v>
      </c>
      <c r="DI319">
        <v>0</v>
      </c>
      <c r="DJ319">
        <v>7</v>
      </c>
      <c r="DK319">
        <v>6</v>
      </c>
      <c r="DL319">
        <v>3</v>
      </c>
      <c r="DM319">
        <v>1</v>
      </c>
      <c r="DN319">
        <v>0</v>
      </c>
      <c r="DO319">
        <v>2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6</v>
      </c>
      <c r="DW319">
        <v>32</v>
      </c>
      <c r="DX319">
        <v>12</v>
      </c>
      <c r="DY319">
        <v>0</v>
      </c>
      <c r="DZ319">
        <v>0</v>
      </c>
      <c r="EA319">
        <v>0</v>
      </c>
      <c r="EB319">
        <v>2</v>
      </c>
      <c r="EC319">
        <v>1</v>
      </c>
      <c r="ED319">
        <v>16</v>
      </c>
      <c r="EE319">
        <v>1</v>
      </c>
      <c r="EF319">
        <v>0</v>
      </c>
      <c r="EG319">
        <v>0</v>
      </c>
      <c r="EH319">
        <v>32</v>
      </c>
      <c r="EI319">
        <v>3</v>
      </c>
      <c r="EJ319">
        <v>2</v>
      </c>
      <c r="EK319">
        <v>0</v>
      </c>
      <c r="EL319">
        <v>0</v>
      </c>
      <c r="EM319">
        <v>1</v>
      </c>
      <c r="EN319">
        <v>0</v>
      </c>
      <c r="EO319">
        <v>0</v>
      </c>
      <c r="EP319">
        <v>0</v>
      </c>
      <c r="EQ319">
        <v>0</v>
      </c>
      <c r="ER319">
        <v>3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</row>
    <row r="320" spans="1:172" ht="14.25">
      <c r="A320">
        <v>315</v>
      </c>
      <c r="B320" t="str">
        <f t="shared" si="62"/>
        <v>101804</v>
      </c>
      <c r="C320" t="str">
        <f t="shared" si="63"/>
        <v>Lututów</v>
      </c>
      <c r="D320" t="str">
        <f t="shared" si="61"/>
        <v>wieruszowski</v>
      </c>
      <c r="E320" t="str">
        <f t="shared" si="55"/>
        <v>łódzkie</v>
      </c>
      <c r="F320">
        <v>3</v>
      </c>
      <c r="G320" t="str">
        <f>"Filialna Szkoła Podstawowa w Hucie, Huta 46, 98-360 Lututów"</f>
        <v>Filialna Szkoła Podstawowa w Hucie, Huta 46, 98-360 Lututów</v>
      </c>
      <c r="H320">
        <v>465</v>
      </c>
      <c r="I320">
        <v>465</v>
      </c>
      <c r="J320">
        <v>0</v>
      </c>
      <c r="K320">
        <v>330</v>
      </c>
      <c r="L320">
        <v>259</v>
      </c>
      <c r="M320">
        <v>71</v>
      </c>
      <c r="N320">
        <v>71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71</v>
      </c>
      <c r="Z320">
        <v>0</v>
      </c>
      <c r="AA320">
        <v>0</v>
      </c>
      <c r="AB320">
        <v>71</v>
      </c>
      <c r="AC320">
        <v>8</v>
      </c>
      <c r="AD320">
        <v>63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5</v>
      </c>
      <c r="BD320">
        <v>3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2</v>
      </c>
      <c r="BN320">
        <v>5</v>
      </c>
      <c r="BO320">
        <v>22</v>
      </c>
      <c r="BP320">
        <v>19</v>
      </c>
      <c r="BQ320">
        <v>2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22</v>
      </c>
      <c r="CA320">
        <v>1</v>
      </c>
      <c r="CB320">
        <v>0</v>
      </c>
      <c r="CC320">
        <v>1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1</v>
      </c>
      <c r="CM320">
        <v>1</v>
      </c>
      <c r="CN320">
        <v>1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1</v>
      </c>
      <c r="CY320">
        <v>4</v>
      </c>
      <c r="CZ320">
        <v>2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1</v>
      </c>
      <c r="DH320">
        <v>1</v>
      </c>
      <c r="DI320">
        <v>0</v>
      </c>
      <c r="DJ320">
        <v>4</v>
      </c>
      <c r="DK320">
        <v>3</v>
      </c>
      <c r="DL320">
        <v>1</v>
      </c>
      <c r="DM320">
        <v>0</v>
      </c>
      <c r="DN320">
        <v>0</v>
      </c>
      <c r="DO320">
        <v>0</v>
      </c>
      <c r="DP320">
        <v>1</v>
      </c>
      <c r="DQ320">
        <v>0</v>
      </c>
      <c r="DR320">
        <v>1</v>
      </c>
      <c r="DS320">
        <v>0</v>
      </c>
      <c r="DT320">
        <v>0</v>
      </c>
      <c r="DU320">
        <v>0</v>
      </c>
      <c r="DV320">
        <v>3</v>
      </c>
      <c r="DW320">
        <v>24</v>
      </c>
      <c r="DX320">
        <v>15</v>
      </c>
      <c r="DY320">
        <v>3</v>
      </c>
      <c r="DZ320">
        <v>0</v>
      </c>
      <c r="EA320">
        <v>0</v>
      </c>
      <c r="EB320">
        <v>0</v>
      </c>
      <c r="EC320">
        <v>1</v>
      </c>
      <c r="ED320">
        <v>5</v>
      </c>
      <c r="EE320">
        <v>0</v>
      </c>
      <c r="EF320">
        <v>0</v>
      </c>
      <c r="EG320">
        <v>0</v>
      </c>
      <c r="EH320">
        <v>24</v>
      </c>
      <c r="EI320">
        <v>1</v>
      </c>
      <c r="EJ320">
        <v>0</v>
      </c>
      <c r="EK320">
        <v>1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1</v>
      </c>
      <c r="ES320">
        <v>2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1</v>
      </c>
      <c r="FC320">
        <v>1</v>
      </c>
      <c r="FD320">
        <v>2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</row>
    <row r="321" spans="1:172" ht="14.25">
      <c r="A321">
        <v>316</v>
      </c>
      <c r="B321" t="str">
        <f t="shared" si="62"/>
        <v>101804</v>
      </c>
      <c r="C321" t="str">
        <f t="shared" si="63"/>
        <v>Lututów</v>
      </c>
      <c r="D321" t="str">
        <f t="shared" si="61"/>
        <v>wieruszowski</v>
      </c>
      <c r="E321" t="str">
        <f t="shared" si="55"/>
        <v>łódzkie</v>
      </c>
      <c r="F321">
        <v>4</v>
      </c>
      <c r="G321" t="str">
        <f>"Filialna Szkoła Podstawowa w Swobodzie, Swoboda 6, 98-360 Lututów"</f>
        <v>Filialna Szkoła Podstawowa w Swobodzie, Swoboda 6, 98-360 Lututów</v>
      </c>
      <c r="H321">
        <v>453</v>
      </c>
      <c r="I321">
        <v>453</v>
      </c>
      <c r="J321">
        <v>0</v>
      </c>
      <c r="K321">
        <v>320</v>
      </c>
      <c r="L321">
        <v>257</v>
      </c>
      <c r="M321">
        <v>63</v>
      </c>
      <c r="N321">
        <v>63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63</v>
      </c>
      <c r="Z321">
        <v>0</v>
      </c>
      <c r="AA321">
        <v>0</v>
      </c>
      <c r="AB321">
        <v>63</v>
      </c>
      <c r="AC321">
        <v>7</v>
      </c>
      <c r="AD321">
        <v>56</v>
      </c>
      <c r="AE321">
        <v>4</v>
      </c>
      <c r="AF321">
        <v>2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2</v>
      </c>
      <c r="AO321">
        <v>0</v>
      </c>
      <c r="AP321">
        <v>4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3</v>
      </c>
      <c r="BD321">
        <v>2</v>
      </c>
      <c r="BE321">
        <v>0</v>
      </c>
      <c r="BF321">
        <v>0</v>
      </c>
      <c r="BG321">
        <v>0</v>
      </c>
      <c r="BH321">
        <v>1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3</v>
      </c>
      <c r="BO321">
        <v>20</v>
      </c>
      <c r="BP321">
        <v>15</v>
      </c>
      <c r="BQ321">
        <v>2</v>
      </c>
      <c r="BR321">
        <v>1</v>
      </c>
      <c r="BS321">
        <v>1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1</v>
      </c>
      <c r="BZ321">
        <v>20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2</v>
      </c>
      <c r="CN321">
        <v>1</v>
      </c>
      <c r="CO321">
        <v>0</v>
      </c>
      <c r="CP321">
        <v>0</v>
      </c>
      <c r="CQ321">
        <v>1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2</v>
      </c>
      <c r="CY321">
        <v>1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1</v>
      </c>
      <c r="DG321">
        <v>0</v>
      </c>
      <c r="DH321">
        <v>0</v>
      </c>
      <c r="DI321">
        <v>0</v>
      </c>
      <c r="DJ321">
        <v>1</v>
      </c>
      <c r="DK321">
        <v>8</v>
      </c>
      <c r="DL321">
        <v>4</v>
      </c>
      <c r="DM321">
        <v>0</v>
      </c>
      <c r="DN321">
        <v>0</v>
      </c>
      <c r="DO321">
        <v>3</v>
      </c>
      <c r="DP321">
        <v>0</v>
      </c>
      <c r="DQ321">
        <v>0</v>
      </c>
      <c r="DR321">
        <v>0</v>
      </c>
      <c r="DS321">
        <v>0</v>
      </c>
      <c r="DT321">
        <v>1</v>
      </c>
      <c r="DU321">
        <v>0</v>
      </c>
      <c r="DV321">
        <v>8</v>
      </c>
      <c r="DW321">
        <v>15</v>
      </c>
      <c r="DX321">
        <v>1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14</v>
      </c>
      <c r="EE321">
        <v>0</v>
      </c>
      <c r="EF321">
        <v>0</v>
      </c>
      <c r="EG321">
        <v>0</v>
      </c>
      <c r="EH321">
        <v>15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3</v>
      </c>
      <c r="ET321">
        <v>2</v>
      </c>
      <c r="EU321">
        <v>0</v>
      </c>
      <c r="EV321">
        <v>1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3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</row>
    <row r="322" spans="1:172" ht="14.25">
      <c r="A322">
        <v>317</v>
      </c>
      <c r="B322" t="str">
        <f t="shared" si="62"/>
        <v>101804</v>
      </c>
      <c r="C322" t="str">
        <f t="shared" si="63"/>
        <v>Lututów</v>
      </c>
      <c r="D322" t="str">
        <f t="shared" si="61"/>
        <v>wieruszowski</v>
      </c>
      <c r="E322" t="str">
        <f t="shared" si="55"/>
        <v>łódzkie</v>
      </c>
      <c r="F322">
        <v>5</v>
      </c>
      <c r="G322" t="str">
        <f>"Przedszkole Publiczne w Lututowie, Wieruszowska 18, 98-360 Lututów"</f>
        <v>Przedszkole Publiczne w Lututowie, Wieruszowska 18, 98-360 Lututów</v>
      </c>
      <c r="H322">
        <v>812</v>
      </c>
      <c r="I322">
        <v>812</v>
      </c>
      <c r="J322">
        <v>0</v>
      </c>
      <c r="K322">
        <v>569</v>
      </c>
      <c r="L322">
        <v>444</v>
      </c>
      <c r="M322">
        <v>125</v>
      </c>
      <c r="N322">
        <v>125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125</v>
      </c>
      <c r="Z322">
        <v>0</v>
      </c>
      <c r="AA322">
        <v>0</v>
      </c>
      <c r="AB322">
        <v>125</v>
      </c>
      <c r="AC322">
        <v>4</v>
      </c>
      <c r="AD322">
        <v>121</v>
      </c>
      <c r="AE322">
        <v>2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2</v>
      </c>
      <c r="AP322">
        <v>2</v>
      </c>
      <c r="AQ322">
        <v>2</v>
      </c>
      <c r="AR322">
        <v>1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1</v>
      </c>
      <c r="BB322">
        <v>2</v>
      </c>
      <c r="BC322">
        <v>7</v>
      </c>
      <c r="BD322">
        <v>4</v>
      </c>
      <c r="BE322">
        <v>1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1</v>
      </c>
      <c r="BL322">
        <v>0</v>
      </c>
      <c r="BM322">
        <v>1</v>
      </c>
      <c r="BN322">
        <v>7</v>
      </c>
      <c r="BO322">
        <v>77</v>
      </c>
      <c r="BP322">
        <v>71</v>
      </c>
      <c r="BQ322">
        <v>0</v>
      </c>
      <c r="BR322">
        <v>2</v>
      </c>
      <c r="BS322">
        <v>3</v>
      </c>
      <c r="BT322">
        <v>0</v>
      </c>
      <c r="BU322">
        <v>0</v>
      </c>
      <c r="BV322">
        <v>0</v>
      </c>
      <c r="BW322">
        <v>1</v>
      </c>
      <c r="BX322">
        <v>0</v>
      </c>
      <c r="BY322">
        <v>0</v>
      </c>
      <c r="BZ322">
        <v>77</v>
      </c>
      <c r="CA322">
        <v>2</v>
      </c>
      <c r="CB322">
        <v>0</v>
      </c>
      <c r="CC322">
        <v>1</v>
      </c>
      <c r="CD322">
        <v>1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2</v>
      </c>
      <c r="CM322">
        <v>1</v>
      </c>
      <c r="CN322">
        <v>1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1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7</v>
      </c>
      <c r="DL322">
        <v>5</v>
      </c>
      <c r="DM322">
        <v>0</v>
      </c>
      <c r="DN322">
        <v>0</v>
      </c>
      <c r="DO322">
        <v>0</v>
      </c>
      <c r="DP322">
        <v>1</v>
      </c>
      <c r="DQ322">
        <v>0</v>
      </c>
      <c r="DR322">
        <v>0</v>
      </c>
      <c r="DS322">
        <v>0</v>
      </c>
      <c r="DT322">
        <v>0</v>
      </c>
      <c r="DU322">
        <v>1</v>
      </c>
      <c r="DV322">
        <v>7</v>
      </c>
      <c r="DW322">
        <v>21</v>
      </c>
      <c r="DX322">
        <v>6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14</v>
      </c>
      <c r="EE322">
        <v>0</v>
      </c>
      <c r="EF322">
        <v>0</v>
      </c>
      <c r="EG322">
        <v>1</v>
      </c>
      <c r="EH322">
        <v>21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2</v>
      </c>
      <c r="ET322">
        <v>2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2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</row>
    <row r="323" spans="1:172" ht="14.25">
      <c r="A323">
        <v>318</v>
      </c>
      <c r="B323" t="str">
        <f t="shared" si="62"/>
        <v>101804</v>
      </c>
      <c r="C323" t="str">
        <f t="shared" si="63"/>
        <v>Lututów</v>
      </c>
      <c r="D323" t="str">
        <f t="shared" si="61"/>
        <v>wieruszowski</v>
      </c>
      <c r="E323" t="str">
        <f t="shared" si="55"/>
        <v>łódzkie</v>
      </c>
      <c r="F323">
        <v>6</v>
      </c>
      <c r="G323" t="str">
        <f>"Gimnazjum Publiczne w Lututowie, Jana Pawła Stalsiego 5, 98-360 Lututów"</f>
        <v>Gimnazjum Publiczne w Lututowie, Jana Pawła Stalsiego 5, 98-360 Lututów</v>
      </c>
      <c r="H323">
        <v>502</v>
      </c>
      <c r="I323">
        <v>502</v>
      </c>
      <c r="J323">
        <v>0</v>
      </c>
      <c r="K323">
        <v>350</v>
      </c>
      <c r="L323">
        <v>234</v>
      </c>
      <c r="M323">
        <v>116</v>
      </c>
      <c r="N323">
        <v>116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116</v>
      </c>
      <c r="Z323">
        <v>0</v>
      </c>
      <c r="AA323">
        <v>0</v>
      </c>
      <c r="AB323">
        <v>116</v>
      </c>
      <c r="AC323">
        <v>10</v>
      </c>
      <c r="AD323">
        <v>106</v>
      </c>
      <c r="AE323">
        <v>2</v>
      </c>
      <c r="AF323">
        <v>0</v>
      </c>
      <c r="AG323">
        <v>0</v>
      </c>
      <c r="AH323">
        <v>2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2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12</v>
      </c>
      <c r="BD323">
        <v>0</v>
      </c>
      <c r="BE323">
        <v>1</v>
      </c>
      <c r="BF323">
        <v>5</v>
      </c>
      <c r="BG323">
        <v>3</v>
      </c>
      <c r="BH323">
        <v>1</v>
      </c>
      <c r="BI323">
        <v>1</v>
      </c>
      <c r="BJ323">
        <v>0</v>
      </c>
      <c r="BK323">
        <v>0</v>
      </c>
      <c r="BL323">
        <v>0</v>
      </c>
      <c r="BM323">
        <v>1</v>
      </c>
      <c r="BN323">
        <v>12</v>
      </c>
      <c r="BO323">
        <v>49</v>
      </c>
      <c r="BP323">
        <v>40</v>
      </c>
      <c r="BQ323">
        <v>2</v>
      </c>
      <c r="BR323">
        <v>2</v>
      </c>
      <c r="BS323">
        <v>5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49</v>
      </c>
      <c r="CA323">
        <v>2</v>
      </c>
      <c r="CB323">
        <v>0</v>
      </c>
      <c r="CC323">
        <v>0</v>
      </c>
      <c r="CD323">
        <v>0</v>
      </c>
      <c r="CE323">
        <v>1</v>
      </c>
      <c r="CF323">
        <v>0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2</v>
      </c>
      <c r="CM323">
        <v>1</v>
      </c>
      <c r="CN323">
        <v>0</v>
      </c>
      <c r="CO323">
        <v>0</v>
      </c>
      <c r="CP323">
        <v>1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1</v>
      </c>
      <c r="CY323">
        <v>3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1</v>
      </c>
      <c r="DH323">
        <v>1</v>
      </c>
      <c r="DI323">
        <v>1</v>
      </c>
      <c r="DJ323">
        <v>3</v>
      </c>
      <c r="DK323">
        <v>11</v>
      </c>
      <c r="DL323">
        <v>7</v>
      </c>
      <c r="DM323">
        <v>2</v>
      </c>
      <c r="DN323">
        <v>0</v>
      </c>
      <c r="DO323">
        <v>1</v>
      </c>
      <c r="DP323">
        <v>0</v>
      </c>
      <c r="DQ323">
        <v>0</v>
      </c>
      <c r="DR323">
        <v>0</v>
      </c>
      <c r="DS323">
        <v>0</v>
      </c>
      <c r="DT323">
        <v>1</v>
      </c>
      <c r="DU323">
        <v>0</v>
      </c>
      <c r="DV323">
        <v>11</v>
      </c>
      <c r="DW323">
        <v>26</v>
      </c>
      <c r="DX323">
        <v>9</v>
      </c>
      <c r="DY323">
        <v>0</v>
      </c>
      <c r="DZ323">
        <v>0</v>
      </c>
      <c r="EA323">
        <v>6</v>
      </c>
      <c r="EB323">
        <v>0</v>
      </c>
      <c r="EC323">
        <v>2</v>
      </c>
      <c r="ED323">
        <v>9</v>
      </c>
      <c r="EE323">
        <v>0</v>
      </c>
      <c r="EF323">
        <v>0</v>
      </c>
      <c r="EG323">
        <v>0</v>
      </c>
      <c r="EH323">
        <v>26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</row>
    <row r="324" spans="1:172" ht="14.25">
      <c r="A324">
        <v>319</v>
      </c>
      <c r="B324" t="str">
        <f>"101805"</f>
        <v>101805</v>
      </c>
      <c r="C324" t="str">
        <f>"Łubnice"</f>
        <v>Łubnice</v>
      </c>
      <c r="D324" t="str">
        <f t="shared" si="61"/>
        <v>wieruszowski</v>
      </c>
      <c r="E324" t="str">
        <f t="shared" si="55"/>
        <v>łódzkie</v>
      </c>
      <c r="F324">
        <v>1</v>
      </c>
      <c r="G324" t="str">
        <f>"Centrum Kultury Wsi w Wójcinie, Świerczewskiego 4, Wójcin, 98-432 Łubnice"</f>
        <v>Centrum Kultury Wsi w Wójcinie, Świerczewskiego 4, Wójcin, 98-432 Łubnice</v>
      </c>
      <c r="H324">
        <v>962</v>
      </c>
      <c r="I324">
        <v>962</v>
      </c>
      <c r="J324">
        <v>0</v>
      </c>
      <c r="K324">
        <v>670</v>
      </c>
      <c r="L324">
        <v>512</v>
      </c>
      <c r="M324">
        <v>158</v>
      </c>
      <c r="N324">
        <v>158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158</v>
      </c>
      <c r="Z324">
        <v>0</v>
      </c>
      <c r="AA324">
        <v>0</v>
      </c>
      <c r="AB324">
        <v>158</v>
      </c>
      <c r="AC324">
        <v>12</v>
      </c>
      <c r="AD324">
        <v>146</v>
      </c>
      <c r="AE324">
        <v>6</v>
      </c>
      <c r="AF324">
        <v>2</v>
      </c>
      <c r="AG324">
        <v>1</v>
      </c>
      <c r="AH324">
        <v>0</v>
      </c>
      <c r="AI324">
        <v>1</v>
      </c>
      <c r="AJ324">
        <v>0</v>
      </c>
      <c r="AK324">
        <v>0</v>
      </c>
      <c r="AL324">
        <v>0</v>
      </c>
      <c r="AM324">
        <v>1</v>
      </c>
      <c r="AN324">
        <v>1</v>
      </c>
      <c r="AO324">
        <v>0</v>
      </c>
      <c r="AP324">
        <v>6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15</v>
      </c>
      <c r="BD324">
        <v>4</v>
      </c>
      <c r="BE324">
        <v>5</v>
      </c>
      <c r="BF324">
        <v>0</v>
      </c>
      <c r="BG324">
        <v>1</v>
      </c>
      <c r="BH324">
        <v>0</v>
      </c>
      <c r="BI324">
        <v>2</v>
      </c>
      <c r="BJ324">
        <v>0</v>
      </c>
      <c r="BK324">
        <v>2</v>
      </c>
      <c r="BL324">
        <v>0</v>
      </c>
      <c r="BM324">
        <v>1</v>
      </c>
      <c r="BN324">
        <v>15</v>
      </c>
      <c r="BO324">
        <v>54</v>
      </c>
      <c r="BP324">
        <v>48</v>
      </c>
      <c r="BQ324">
        <v>2</v>
      </c>
      <c r="BR324">
        <v>1</v>
      </c>
      <c r="BS324">
        <v>0</v>
      </c>
      <c r="BT324">
        <v>0</v>
      </c>
      <c r="BU324">
        <v>0</v>
      </c>
      <c r="BV324">
        <v>1</v>
      </c>
      <c r="BW324">
        <v>0</v>
      </c>
      <c r="BX324">
        <v>0</v>
      </c>
      <c r="BY324">
        <v>2</v>
      </c>
      <c r="BZ324">
        <v>54</v>
      </c>
      <c r="CA324">
        <v>8</v>
      </c>
      <c r="CB324">
        <v>1</v>
      </c>
      <c r="CC324">
        <v>1</v>
      </c>
      <c r="CD324">
        <v>2</v>
      </c>
      <c r="CE324">
        <v>0</v>
      </c>
      <c r="CF324">
        <v>0</v>
      </c>
      <c r="CG324">
        <v>0</v>
      </c>
      <c r="CH324">
        <v>0</v>
      </c>
      <c r="CI324">
        <v>1</v>
      </c>
      <c r="CJ324">
        <v>1</v>
      </c>
      <c r="CK324">
        <v>2</v>
      </c>
      <c r="CL324">
        <v>8</v>
      </c>
      <c r="CM324">
        <v>1</v>
      </c>
      <c r="CN324">
        <v>1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1</v>
      </c>
      <c r="CY324">
        <v>5</v>
      </c>
      <c r="CZ324">
        <v>2</v>
      </c>
      <c r="DA324">
        <v>0</v>
      </c>
      <c r="DB324">
        <v>0</v>
      </c>
      <c r="DC324">
        <v>1</v>
      </c>
      <c r="DD324">
        <v>0</v>
      </c>
      <c r="DE324">
        <v>0</v>
      </c>
      <c r="DF324">
        <v>1</v>
      </c>
      <c r="DG324">
        <v>0</v>
      </c>
      <c r="DH324">
        <v>1</v>
      </c>
      <c r="DI324">
        <v>0</v>
      </c>
      <c r="DJ324">
        <v>5</v>
      </c>
      <c r="DK324">
        <v>15</v>
      </c>
      <c r="DL324">
        <v>7</v>
      </c>
      <c r="DM324">
        <v>2</v>
      </c>
      <c r="DN324">
        <v>0</v>
      </c>
      <c r="DO324">
        <v>1</v>
      </c>
      <c r="DP324">
        <v>1</v>
      </c>
      <c r="DQ324">
        <v>1</v>
      </c>
      <c r="DR324">
        <v>1</v>
      </c>
      <c r="DS324">
        <v>0</v>
      </c>
      <c r="DT324">
        <v>0</v>
      </c>
      <c r="DU324">
        <v>2</v>
      </c>
      <c r="DV324">
        <v>15</v>
      </c>
      <c r="DW324">
        <v>34</v>
      </c>
      <c r="DX324">
        <v>9</v>
      </c>
      <c r="DY324">
        <v>1</v>
      </c>
      <c r="DZ324">
        <v>0</v>
      </c>
      <c r="EA324">
        <v>1</v>
      </c>
      <c r="EB324">
        <v>0</v>
      </c>
      <c r="EC324">
        <v>3</v>
      </c>
      <c r="ED324">
        <v>20</v>
      </c>
      <c r="EE324">
        <v>0</v>
      </c>
      <c r="EF324">
        <v>0</v>
      </c>
      <c r="EG324">
        <v>0</v>
      </c>
      <c r="EH324">
        <v>34</v>
      </c>
      <c r="EI324">
        <v>3</v>
      </c>
      <c r="EJ324">
        <v>0</v>
      </c>
      <c r="EK324">
        <v>2</v>
      </c>
      <c r="EL324">
        <v>0</v>
      </c>
      <c r="EM324">
        <v>1</v>
      </c>
      <c r="EN324">
        <v>0</v>
      </c>
      <c r="EO324">
        <v>0</v>
      </c>
      <c r="EP324">
        <v>0</v>
      </c>
      <c r="EQ324">
        <v>0</v>
      </c>
      <c r="ER324">
        <v>3</v>
      </c>
      <c r="ES324">
        <v>5</v>
      </c>
      <c r="ET324">
        <v>4</v>
      </c>
      <c r="EU324">
        <v>1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5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</row>
    <row r="325" spans="1:172" ht="14.25">
      <c r="A325">
        <v>320</v>
      </c>
      <c r="B325" t="str">
        <f>"101805"</f>
        <v>101805</v>
      </c>
      <c r="C325" t="str">
        <f>"Łubnice"</f>
        <v>Łubnice</v>
      </c>
      <c r="D325" t="str">
        <f t="shared" si="61"/>
        <v>wieruszowski</v>
      </c>
      <c r="E325" t="str">
        <f t="shared" si="55"/>
        <v>łódzkie</v>
      </c>
      <c r="F325">
        <v>2</v>
      </c>
      <c r="G325" t="str">
        <f>"Sala OSP w Dzietrzkowicach, Tysiąclecia 57, Dzietrzkowice, 98-432 Łubnice"</f>
        <v>Sala OSP w Dzietrzkowicach, Tysiąclecia 57, Dzietrzkowice, 98-432 Łubnice</v>
      </c>
      <c r="H325">
        <v>1210</v>
      </c>
      <c r="I325">
        <v>1210</v>
      </c>
      <c r="J325">
        <v>0</v>
      </c>
      <c r="K325">
        <v>850</v>
      </c>
      <c r="L325">
        <v>642</v>
      </c>
      <c r="M325">
        <v>208</v>
      </c>
      <c r="N325">
        <v>208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208</v>
      </c>
      <c r="Z325">
        <v>0</v>
      </c>
      <c r="AA325">
        <v>0</v>
      </c>
      <c r="AB325">
        <v>208</v>
      </c>
      <c r="AC325">
        <v>2</v>
      </c>
      <c r="AD325">
        <v>206</v>
      </c>
      <c r="AE325">
        <v>4</v>
      </c>
      <c r="AF325">
        <v>1</v>
      </c>
      <c r="AG325">
        <v>1</v>
      </c>
      <c r="AH325">
        <v>0</v>
      </c>
      <c r="AI325">
        <v>0</v>
      </c>
      <c r="AJ325">
        <v>0</v>
      </c>
      <c r="AK325">
        <v>0</v>
      </c>
      <c r="AL325">
        <v>2</v>
      </c>
      <c r="AM325">
        <v>0</v>
      </c>
      <c r="AN325">
        <v>0</v>
      </c>
      <c r="AO325">
        <v>0</v>
      </c>
      <c r="AP325">
        <v>4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5</v>
      </c>
      <c r="BD325">
        <v>3</v>
      </c>
      <c r="BE325">
        <v>1</v>
      </c>
      <c r="BF325">
        <v>0</v>
      </c>
      <c r="BG325">
        <v>0</v>
      </c>
      <c r="BH325">
        <v>0</v>
      </c>
      <c r="BI325">
        <v>1</v>
      </c>
      <c r="BJ325">
        <v>0</v>
      </c>
      <c r="BK325">
        <v>0</v>
      </c>
      <c r="BL325">
        <v>0</v>
      </c>
      <c r="BM325">
        <v>0</v>
      </c>
      <c r="BN325">
        <v>5</v>
      </c>
      <c r="BO325">
        <v>90</v>
      </c>
      <c r="BP325">
        <v>75</v>
      </c>
      <c r="BQ325">
        <v>4</v>
      </c>
      <c r="BR325">
        <v>0</v>
      </c>
      <c r="BS325">
        <v>9</v>
      </c>
      <c r="BT325">
        <v>0</v>
      </c>
      <c r="BU325">
        <v>0</v>
      </c>
      <c r="BV325">
        <v>1</v>
      </c>
      <c r="BW325">
        <v>1</v>
      </c>
      <c r="BX325">
        <v>0</v>
      </c>
      <c r="BY325">
        <v>0</v>
      </c>
      <c r="BZ325">
        <v>90</v>
      </c>
      <c r="CA325">
        <v>1</v>
      </c>
      <c r="CB325">
        <v>0</v>
      </c>
      <c r="CC325">
        <v>1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1</v>
      </c>
      <c r="CM325">
        <v>2</v>
      </c>
      <c r="CN325">
        <v>0</v>
      </c>
      <c r="CO325">
        <v>0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0</v>
      </c>
      <c r="CV325">
        <v>0</v>
      </c>
      <c r="CW325">
        <v>1</v>
      </c>
      <c r="CX325">
        <v>2</v>
      </c>
      <c r="CY325">
        <v>8</v>
      </c>
      <c r="CZ325">
        <v>5</v>
      </c>
      <c r="DA325">
        <v>0</v>
      </c>
      <c r="DB325">
        <v>1</v>
      </c>
      <c r="DC325">
        <v>0</v>
      </c>
      <c r="DD325">
        <v>2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8</v>
      </c>
      <c r="DK325">
        <v>16</v>
      </c>
      <c r="DL325">
        <v>8</v>
      </c>
      <c r="DM325">
        <v>1</v>
      </c>
      <c r="DN325">
        <v>2</v>
      </c>
      <c r="DO325">
        <v>1</v>
      </c>
      <c r="DP325">
        <v>0</v>
      </c>
      <c r="DQ325">
        <v>1</v>
      </c>
      <c r="DR325">
        <v>2</v>
      </c>
      <c r="DS325">
        <v>1</v>
      </c>
      <c r="DT325">
        <v>0</v>
      </c>
      <c r="DU325">
        <v>0</v>
      </c>
      <c r="DV325">
        <v>16</v>
      </c>
      <c r="DW325">
        <v>76</v>
      </c>
      <c r="DX325">
        <v>16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60</v>
      </c>
      <c r="EE325">
        <v>0</v>
      </c>
      <c r="EF325">
        <v>0</v>
      </c>
      <c r="EG325">
        <v>0</v>
      </c>
      <c r="EH325">
        <v>76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3</v>
      </c>
      <c r="ET325">
        <v>1</v>
      </c>
      <c r="EU325">
        <v>0</v>
      </c>
      <c r="EV325">
        <v>0</v>
      </c>
      <c r="EW325">
        <v>0</v>
      </c>
      <c r="EX325">
        <v>1</v>
      </c>
      <c r="EY325">
        <v>0</v>
      </c>
      <c r="EZ325">
        <v>0</v>
      </c>
      <c r="FA325">
        <v>1</v>
      </c>
      <c r="FB325">
        <v>0</v>
      </c>
      <c r="FC325">
        <v>0</v>
      </c>
      <c r="FD325">
        <v>3</v>
      </c>
      <c r="FE325">
        <v>1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1</v>
      </c>
      <c r="FN325">
        <v>0</v>
      </c>
      <c r="FO325">
        <v>0</v>
      </c>
      <c r="FP325">
        <v>1</v>
      </c>
    </row>
    <row r="326" spans="1:172" ht="14.25">
      <c r="A326">
        <v>321</v>
      </c>
      <c r="B326" t="str">
        <f>"101805"</f>
        <v>101805</v>
      </c>
      <c r="C326" t="str">
        <f>"Łubnice"</f>
        <v>Łubnice</v>
      </c>
      <c r="D326" t="str">
        <f t="shared" si="61"/>
        <v>wieruszowski</v>
      </c>
      <c r="E326" t="str">
        <f aca="true" t="shared" si="64" ref="E326:E385">"łódzkie"</f>
        <v>łódzkie</v>
      </c>
      <c r="F326">
        <v>3</v>
      </c>
      <c r="G326" t="str">
        <f>"Centrum Kultury Wsi w Łubnicach, Sikorskiego 98, 98-432 Łubnice"</f>
        <v>Centrum Kultury Wsi w Łubnicach, Sikorskiego 98, 98-432 Łubnice</v>
      </c>
      <c r="H326">
        <v>1168</v>
      </c>
      <c r="I326">
        <v>1167</v>
      </c>
      <c r="J326">
        <v>1</v>
      </c>
      <c r="K326">
        <v>820</v>
      </c>
      <c r="L326">
        <v>645</v>
      </c>
      <c r="M326">
        <v>175</v>
      </c>
      <c r="N326">
        <v>175</v>
      </c>
      <c r="O326">
        <v>0</v>
      </c>
      <c r="P326">
        <v>0</v>
      </c>
      <c r="Q326">
        <v>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175</v>
      </c>
      <c r="Z326">
        <v>0</v>
      </c>
      <c r="AA326">
        <v>0</v>
      </c>
      <c r="AB326">
        <v>175</v>
      </c>
      <c r="AC326">
        <v>3</v>
      </c>
      <c r="AD326">
        <v>172</v>
      </c>
      <c r="AE326">
        <v>8</v>
      </c>
      <c r="AF326">
        <v>4</v>
      </c>
      <c r="AG326">
        <v>2</v>
      </c>
      <c r="AH326">
        <v>2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8</v>
      </c>
      <c r="AQ326">
        <v>1</v>
      </c>
      <c r="AR326">
        <v>1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1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60</v>
      </c>
      <c r="BP326">
        <v>48</v>
      </c>
      <c r="BQ326">
        <v>2</v>
      </c>
      <c r="BR326">
        <v>1</v>
      </c>
      <c r="BS326">
        <v>2</v>
      </c>
      <c r="BT326">
        <v>0</v>
      </c>
      <c r="BU326">
        <v>0</v>
      </c>
      <c r="BV326">
        <v>1</v>
      </c>
      <c r="BW326">
        <v>3</v>
      </c>
      <c r="BX326">
        <v>2</v>
      </c>
      <c r="BY326">
        <v>1</v>
      </c>
      <c r="BZ326">
        <v>60</v>
      </c>
      <c r="CA326">
        <v>3</v>
      </c>
      <c r="CB326">
        <v>2</v>
      </c>
      <c r="CC326">
        <v>0</v>
      </c>
      <c r="CD326">
        <v>1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3</v>
      </c>
      <c r="CM326">
        <v>1</v>
      </c>
      <c r="CN326">
        <v>0</v>
      </c>
      <c r="CO326">
        <v>0</v>
      </c>
      <c r="CP326">
        <v>0</v>
      </c>
      <c r="CQ326">
        <v>0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1</v>
      </c>
      <c r="CY326">
        <v>4</v>
      </c>
      <c r="CZ326">
        <v>4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4</v>
      </c>
      <c r="DK326">
        <v>24</v>
      </c>
      <c r="DL326">
        <v>12</v>
      </c>
      <c r="DM326">
        <v>4</v>
      </c>
      <c r="DN326">
        <v>0</v>
      </c>
      <c r="DO326">
        <v>2</v>
      </c>
      <c r="DP326">
        <v>1</v>
      </c>
      <c r="DQ326">
        <v>2</v>
      </c>
      <c r="DR326">
        <v>2</v>
      </c>
      <c r="DS326">
        <v>0</v>
      </c>
      <c r="DT326">
        <v>0</v>
      </c>
      <c r="DU326">
        <v>1</v>
      </c>
      <c r="DV326">
        <v>24</v>
      </c>
      <c r="DW326">
        <v>69</v>
      </c>
      <c r="DX326">
        <v>2</v>
      </c>
      <c r="DY326">
        <v>0</v>
      </c>
      <c r="DZ326">
        <v>0</v>
      </c>
      <c r="EA326">
        <v>0</v>
      </c>
      <c r="EB326">
        <v>0</v>
      </c>
      <c r="EC326">
        <v>1</v>
      </c>
      <c r="ED326">
        <v>64</v>
      </c>
      <c r="EE326">
        <v>1</v>
      </c>
      <c r="EF326">
        <v>0</v>
      </c>
      <c r="EG326">
        <v>1</v>
      </c>
      <c r="EH326">
        <v>69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1</v>
      </c>
      <c r="ET326">
        <v>1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1</v>
      </c>
      <c r="FE326">
        <v>1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1</v>
      </c>
      <c r="FL326">
        <v>0</v>
      </c>
      <c r="FM326">
        <v>0</v>
      </c>
      <c r="FN326">
        <v>0</v>
      </c>
      <c r="FO326">
        <v>0</v>
      </c>
      <c r="FP326">
        <v>1</v>
      </c>
    </row>
    <row r="327" spans="1:172" ht="14.25">
      <c r="A327">
        <v>322</v>
      </c>
      <c r="B327" t="str">
        <f>"101806"</f>
        <v>101806</v>
      </c>
      <c r="C327" t="str">
        <f>"Sokolniki"</f>
        <v>Sokolniki</v>
      </c>
      <c r="D327" t="str">
        <f t="shared" si="61"/>
        <v>wieruszowski</v>
      </c>
      <c r="E327" t="str">
        <f t="shared" si="64"/>
        <v>łódzkie</v>
      </c>
      <c r="F327">
        <v>1</v>
      </c>
      <c r="G327" t="str">
        <f>"Gimnazjum Publiczne w Sokolnikach, Szkolna 1, 98-420 Sokolniki"</f>
        <v>Gimnazjum Publiczne w Sokolnikach, Szkolna 1, 98-420 Sokolniki</v>
      </c>
      <c r="H327">
        <v>1877</v>
      </c>
      <c r="I327">
        <v>1877</v>
      </c>
      <c r="J327">
        <v>0</v>
      </c>
      <c r="K327">
        <v>1330</v>
      </c>
      <c r="L327">
        <v>1028</v>
      </c>
      <c r="M327">
        <v>302</v>
      </c>
      <c r="N327">
        <v>302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302</v>
      </c>
      <c r="Z327">
        <v>0</v>
      </c>
      <c r="AA327">
        <v>0</v>
      </c>
      <c r="AB327">
        <v>302</v>
      </c>
      <c r="AC327">
        <v>5</v>
      </c>
      <c r="AD327">
        <v>297</v>
      </c>
      <c r="AE327">
        <v>6</v>
      </c>
      <c r="AF327">
        <v>6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6</v>
      </c>
      <c r="AQ327">
        <v>2</v>
      </c>
      <c r="AR327">
        <v>0</v>
      </c>
      <c r="AS327">
        <v>2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2</v>
      </c>
      <c r="BC327">
        <v>20</v>
      </c>
      <c r="BD327">
        <v>12</v>
      </c>
      <c r="BE327">
        <v>1</v>
      </c>
      <c r="BF327">
        <v>0</v>
      </c>
      <c r="BG327">
        <v>0</v>
      </c>
      <c r="BH327">
        <v>0</v>
      </c>
      <c r="BI327">
        <v>1</v>
      </c>
      <c r="BJ327">
        <v>1</v>
      </c>
      <c r="BK327">
        <v>1</v>
      </c>
      <c r="BL327">
        <v>2</v>
      </c>
      <c r="BM327">
        <v>2</v>
      </c>
      <c r="BN327">
        <v>20</v>
      </c>
      <c r="BO327">
        <v>110</v>
      </c>
      <c r="BP327">
        <v>106</v>
      </c>
      <c r="BQ327">
        <v>3</v>
      </c>
      <c r="BR327">
        <v>0</v>
      </c>
      <c r="BS327">
        <v>1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110</v>
      </c>
      <c r="CA327">
        <v>12</v>
      </c>
      <c r="CB327">
        <v>3</v>
      </c>
      <c r="CC327">
        <v>1</v>
      </c>
      <c r="CD327">
        <v>2</v>
      </c>
      <c r="CE327">
        <v>1</v>
      </c>
      <c r="CF327">
        <v>0</v>
      </c>
      <c r="CG327">
        <v>1</v>
      </c>
      <c r="CH327">
        <v>0</v>
      </c>
      <c r="CI327">
        <v>4</v>
      </c>
      <c r="CJ327">
        <v>0</v>
      </c>
      <c r="CK327">
        <v>0</v>
      </c>
      <c r="CL327">
        <v>12</v>
      </c>
      <c r="CM327">
        <v>1</v>
      </c>
      <c r="CN327">
        <v>1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1</v>
      </c>
      <c r="CY327">
        <v>16</v>
      </c>
      <c r="CZ327">
        <v>11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2</v>
      </c>
      <c r="DG327">
        <v>0</v>
      </c>
      <c r="DH327">
        <v>1</v>
      </c>
      <c r="DI327">
        <v>2</v>
      </c>
      <c r="DJ327">
        <v>16</v>
      </c>
      <c r="DK327">
        <v>54</v>
      </c>
      <c r="DL327">
        <v>39</v>
      </c>
      <c r="DM327">
        <v>7</v>
      </c>
      <c r="DN327">
        <v>1</v>
      </c>
      <c r="DO327">
        <v>1</v>
      </c>
      <c r="DP327">
        <v>1</v>
      </c>
      <c r="DQ327">
        <v>3</v>
      </c>
      <c r="DR327">
        <v>1</v>
      </c>
      <c r="DS327">
        <v>0</v>
      </c>
      <c r="DT327">
        <v>0</v>
      </c>
      <c r="DU327">
        <v>1</v>
      </c>
      <c r="DV327">
        <v>54</v>
      </c>
      <c r="DW327">
        <v>74</v>
      </c>
      <c r="DX327">
        <v>22</v>
      </c>
      <c r="DY327">
        <v>1</v>
      </c>
      <c r="DZ327">
        <v>0</v>
      </c>
      <c r="EA327">
        <v>0</v>
      </c>
      <c r="EB327">
        <v>0</v>
      </c>
      <c r="EC327">
        <v>0</v>
      </c>
      <c r="ED327">
        <v>51</v>
      </c>
      <c r="EE327">
        <v>0</v>
      </c>
      <c r="EF327">
        <v>0</v>
      </c>
      <c r="EG327">
        <v>0</v>
      </c>
      <c r="EH327">
        <v>74</v>
      </c>
      <c r="EI327">
        <v>1</v>
      </c>
      <c r="EJ327">
        <v>0</v>
      </c>
      <c r="EK327">
        <v>1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1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1</v>
      </c>
      <c r="FF327">
        <v>0</v>
      </c>
      <c r="FG327">
        <v>1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1</v>
      </c>
    </row>
    <row r="328" spans="1:172" ht="14.25">
      <c r="A328">
        <v>323</v>
      </c>
      <c r="B328" t="str">
        <f>"101806"</f>
        <v>101806</v>
      </c>
      <c r="C328" t="str">
        <f>"Sokolniki"</f>
        <v>Sokolniki</v>
      </c>
      <c r="D328" t="str">
        <f t="shared" si="61"/>
        <v>wieruszowski</v>
      </c>
      <c r="E328" t="str">
        <f t="shared" si="64"/>
        <v>łódzkie</v>
      </c>
      <c r="F328">
        <v>2</v>
      </c>
      <c r="G328" t="str">
        <f>"Szkoła Podstawowa w Starym Ochędzynie, Stary Ochędzyn 55, 98-420 Sokolniki"</f>
        <v>Szkoła Podstawowa w Starym Ochędzynie, Stary Ochędzyn 55, 98-420 Sokolniki</v>
      </c>
      <c r="H328">
        <v>676</v>
      </c>
      <c r="I328">
        <v>676</v>
      </c>
      <c r="J328">
        <v>0</v>
      </c>
      <c r="K328">
        <v>470</v>
      </c>
      <c r="L328">
        <v>317</v>
      </c>
      <c r="M328">
        <v>153</v>
      </c>
      <c r="N328">
        <v>153</v>
      </c>
      <c r="O328">
        <v>0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153</v>
      </c>
      <c r="Z328">
        <v>0</v>
      </c>
      <c r="AA328">
        <v>0</v>
      </c>
      <c r="AB328">
        <v>153</v>
      </c>
      <c r="AC328">
        <v>8</v>
      </c>
      <c r="AD328">
        <v>145</v>
      </c>
      <c r="AE328">
        <v>3</v>
      </c>
      <c r="AF328">
        <v>1</v>
      </c>
      <c r="AG328">
        <v>1</v>
      </c>
      <c r="AH328">
        <v>0</v>
      </c>
      <c r="AI328">
        <v>1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3</v>
      </c>
      <c r="AQ328">
        <v>2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1</v>
      </c>
      <c r="AY328">
        <v>0</v>
      </c>
      <c r="AZ328">
        <v>0</v>
      </c>
      <c r="BA328">
        <v>1</v>
      </c>
      <c r="BB328">
        <v>2</v>
      </c>
      <c r="BC328">
        <v>5</v>
      </c>
      <c r="BD328">
        <v>1</v>
      </c>
      <c r="BE328">
        <v>0</v>
      </c>
      <c r="BF328">
        <v>0</v>
      </c>
      <c r="BG328">
        <v>0</v>
      </c>
      <c r="BH328">
        <v>0</v>
      </c>
      <c r="BI328">
        <v>3</v>
      </c>
      <c r="BJ328">
        <v>0</v>
      </c>
      <c r="BK328">
        <v>0</v>
      </c>
      <c r="BL328">
        <v>1</v>
      </c>
      <c r="BM328">
        <v>0</v>
      </c>
      <c r="BN328">
        <v>5</v>
      </c>
      <c r="BO328">
        <v>79</v>
      </c>
      <c r="BP328">
        <v>68</v>
      </c>
      <c r="BQ328">
        <v>5</v>
      </c>
      <c r="BR328">
        <v>2</v>
      </c>
      <c r="BS328">
        <v>3</v>
      </c>
      <c r="BT328">
        <v>0</v>
      </c>
      <c r="BU328">
        <v>0</v>
      </c>
      <c r="BV328">
        <v>1</v>
      </c>
      <c r="BW328">
        <v>0</v>
      </c>
      <c r="BX328">
        <v>0</v>
      </c>
      <c r="BY328">
        <v>0</v>
      </c>
      <c r="BZ328">
        <v>79</v>
      </c>
      <c r="CA328">
        <v>4</v>
      </c>
      <c r="CB328">
        <v>1</v>
      </c>
      <c r="CC328">
        <v>0</v>
      </c>
      <c r="CD328">
        <v>0</v>
      </c>
      <c r="CE328">
        <v>1</v>
      </c>
      <c r="CF328">
        <v>0</v>
      </c>
      <c r="CG328">
        <v>0</v>
      </c>
      <c r="CH328">
        <v>0</v>
      </c>
      <c r="CI328">
        <v>0</v>
      </c>
      <c r="CJ328">
        <v>2</v>
      </c>
      <c r="CK328">
        <v>0</v>
      </c>
      <c r="CL328">
        <v>4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11</v>
      </c>
      <c r="CZ328">
        <v>7</v>
      </c>
      <c r="DA328">
        <v>0</v>
      </c>
      <c r="DB328">
        <v>1</v>
      </c>
      <c r="DC328">
        <v>0</v>
      </c>
      <c r="DD328">
        <v>2</v>
      </c>
      <c r="DE328">
        <v>0</v>
      </c>
      <c r="DF328">
        <v>1</v>
      </c>
      <c r="DG328">
        <v>0</v>
      </c>
      <c r="DH328">
        <v>0</v>
      </c>
      <c r="DI328">
        <v>0</v>
      </c>
      <c r="DJ328">
        <v>11</v>
      </c>
      <c r="DK328">
        <v>13</v>
      </c>
      <c r="DL328">
        <v>9</v>
      </c>
      <c r="DM328">
        <v>2</v>
      </c>
      <c r="DN328">
        <v>0</v>
      </c>
      <c r="DO328">
        <v>0</v>
      </c>
      <c r="DP328">
        <v>0</v>
      </c>
      <c r="DQ328">
        <v>1</v>
      </c>
      <c r="DR328">
        <v>0</v>
      </c>
      <c r="DS328">
        <v>0</v>
      </c>
      <c r="DT328">
        <v>1</v>
      </c>
      <c r="DU328">
        <v>0</v>
      </c>
      <c r="DV328">
        <v>13</v>
      </c>
      <c r="DW328">
        <v>27</v>
      </c>
      <c r="DX328">
        <v>2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25</v>
      </c>
      <c r="EE328">
        <v>0</v>
      </c>
      <c r="EF328">
        <v>0</v>
      </c>
      <c r="EG328">
        <v>0</v>
      </c>
      <c r="EH328">
        <v>27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1</v>
      </c>
      <c r="ET328">
        <v>1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1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</row>
    <row r="329" spans="1:172" ht="14.25">
      <c r="A329">
        <v>324</v>
      </c>
      <c r="B329" t="str">
        <f>"101806"</f>
        <v>101806</v>
      </c>
      <c r="C329" t="str">
        <f>"Sokolniki"</f>
        <v>Sokolniki</v>
      </c>
      <c r="D329" t="str">
        <f t="shared" si="61"/>
        <v>wieruszowski</v>
      </c>
      <c r="E329" t="str">
        <f t="shared" si="64"/>
        <v>łódzkie</v>
      </c>
      <c r="F329">
        <v>3</v>
      </c>
      <c r="G329" t="str">
        <f>"Sala Ochotniczej Starży Pożarnej w Walichnowach, Aleja Wyzwolenia 8a, Walichnowy, 98-420 Sokolniki"</f>
        <v>Sala Ochotniczej Starży Pożarnej w Walichnowach, Aleja Wyzwolenia 8a, Walichnowy, 98-420 Sokolniki</v>
      </c>
      <c r="H329">
        <v>706</v>
      </c>
      <c r="I329">
        <v>706</v>
      </c>
      <c r="J329">
        <v>0</v>
      </c>
      <c r="K329">
        <v>500</v>
      </c>
      <c r="L329">
        <v>344</v>
      </c>
      <c r="M329">
        <v>156</v>
      </c>
      <c r="N329">
        <v>156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156</v>
      </c>
      <c r="Z329">
        <v>0</v>
      </c>
      <c r="AA329">
        <v>0</v>
      </c>
      <c r="AB329">
        <v>156</v>
      </c>
      <c r="AC329">
        <v>16</v>
      </c>
      <c r="AD329">
        <v>140</v>
      </c>
      <c r="AE329">
        <v>2</v>
      </c>
      <c r="AF329">
        <v>2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2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6</v>
      </c>
      <c r="BD329">
        <v>5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1</v>
      </c>
      <c r="BN329">
        <v>6</v>
      </c>
      <c r="BO329">
        <v>73</v>
      </c>
      <c r="BP329">
        <v>58</v>
      </c>
      <c r="BQ329">
        <v>2</v>
      </c>
      <c r="BR329">
        <v>1</v>
      </c>
      <c r="BS329">
        <v>8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3</v>
      </c>
      <c r="BZ329">
        <v>73</v>
      </c>
      <c r="CA329">
        <v>2</v>
      </c>
      <c r="CB329">
        <v>1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</v>
      </c>
      <c r="CK329">
        <v>0</v>
      </c>
      <c r="CL329">
        <v>2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1</v>
      </c>
      <c r="CY329">
        <v>6</v>
      </c>
      <c r="CZ329">
        <v>2</v>
      </c>
      <c r="DA329">
        <v>1</v>
      </c>
      <c r="DB329">
        <v>0</v>
      </c>
      <c r="DC329">
        <v>2</v>
      </c>
      <c r="DD329">
        <v>1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6</v>
      </c>
      <c r="DK329">
        <v>10</v>
      </c>
      <c r="DL329">
        <v>9</v>
      </c>
      <c r="DM329">
        <v>1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10</v>
      </c>
      <c r="DW329">
        <v>40</v>
      </c>
      <c r="DX329">
        <v>22</v>
      </c>
      <c r="DY329">
        <v>0</v>
      </c>
      <c r="DZ329">
        <v>0</v>
      </c>
      <c r="EA329">
        <v>0</v>
      </c>
      <c r="EB329">
        <v>0</v>
      </c>
      <c r="EC329">
        <v>1</v>
      </c>
      <c r="ED329">
        <v>16</v>
      </c>
      <c r="EE329">
        <v>1</v>
      </c>
      <c r="EF329">
        <v>0</v>
      </c>
      <c r="EG329">
        <v>0</v>
      </c>
      <c r="EH329">
        <v>40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</row>
    <row r="330" spans="1:172" ht="14.25">
      <c r="A330">
        <v>325</v>
      </c>
      <c r="B330" t="str">
        <f>"101806"</f>
        <v>101806</v>
      </c>
      <c r="C330" t="str">
        <f>"Sokolniki"</f>
        <v>Sokolniki</v>
      </c>
      <c r="D330" t="str">
        <f t="shared" si="61"/>
        <v>wieruszowski</v>
      </c>
      <c r="E330" t="str">
        <f t="shared" si="64"/>
        <v>łódzkie</v>
      </c>
      <c r="F330">
        <v>4</v>
      </c>
      <c r="G330" t="str">
        <f>"Szkoła Podstawowa w Pichlicach, Pichlice 1, 98-420 Sokolniki"</f>
        <v>Szkoła Podstawowa w Pichlicach, Pichlice 1, 98-420 Sokolniki</v>
      </c>
      <c r="H330">
        <v>678</v>
      </c>
      <c r="I330">
        <v>678</v>
      </c>
      <c r="J330">
        <v>0</v>
      </c>
      <c r="K330">
        <v>480</v>
      </c>
      <c r="L330">
        <v>362</v>
      </c>
      <c r="M330">
        <v>118</v>
      </c>
      <c r="N330">
        <v>118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118</v>
      </c>
      <c r="Z330">
        <v>0</v>
      </c>
      <c r="AA330">
        <v>0</v>
      </c>
      <c r="AB330">
        <v>118</v>
      </c>
      <c r="AC330">
        <v>2</v>
      </c>
      <c r="AD330">
        <v>116</v>
      </c>
      <c r="AE330">
        <v>3</v>
      </c>
      <c r="AF330">
        <v>1</v>
      </c>
      <c r="AG330">
        <v>1</v>
      </c>
      <c r="AH330">
        <v>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3</v>
      </c>
      <c r="AQ330">
        <v>3</v>
      </c>
      <c r="AR330">
        <v>0</v>
      </c>
      <c r="AS330">
        <v>1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2</v>
      </c>
      <c r="BB330">
        <v>3</v>
      </c>
      <c r="BC330">
        <v>3</v>
      </c>
      <c r="BD330">
        <v>1</v>
      </c>
      <c r="BE330">
        <v>2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3</v>
      </c>
      <c r="BO330">
        <v>72</v>
      </c>
      <c r="BP330">
        <v>54</v>
      </c>
      <c r="BQ330">
        <v>2</v>
      </c>
      <c r="BR330">
        <v>1</v>
      </c>
      <c r="BS330">
        <v>12</v>
      </c>
      <c r="BT330">
        <v>1</v>
      </c>
      <c r="BU330">
        <v>0</v>
      </c>
      <c r="BV330">
        <v>0</v>
      </c>
      <c r="BW330">
        <v>2</v>
      </c>
      <c r="BX330">
        <v>0</v>
      </c>
      <c r="BY330">
        <v>0</v>
      </c>
      <c r="BZ330">
        <v>72</v>
      </c>
      <c r="CA330">
        <v>1</v>
      </c>
      <c r="CB330">
        <v>0</v>
      </c>
      <c r="CC330">
        <v>0</v>
      </c>
      <c r="CD330">
        <v>0</v>
      </c>
      <c r="CE330">
        <v>1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1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4</v>
      </c>
      <c r="CZ330">
        <v>3</v>
      </c>
      <c r="DA330">
        <v>1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4</v>
      </c>
      <c r="DK330">
        <v>6</v>
      </c>
      <c r="DL330">
        <v>5</v>
      </c>
      <c r="DM330">
        <v>1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6</v>
      </c>
      <c r="DW330">
        <v>21</v>
      </c>
      <c r="DX330">
        <v>4</v>
      </c>
      <c r="DY330">
        <v>1</v>
      </c>
      <c r="DZ330">
        <v>0</v>
      </c>
      <c r="EA330">
        <v>0</v>
      </c>
      <c r="EB330">
        <v>0</v>
      </c>
      <c r="EC330">
        <v>0</v>
      </c>
      <c r="ED330">
        <v>16</v>
      </c>
      <c r="EE330">
        <v>0</v>
      </c>
      <c r="EF330">
        <v>0</v>
      </c>
      <c r="EG330">
        <v>0</v>
      </c>
      <c r="EH330">
        <v>21</v>
      </c>
      <c r="EI330">
        <v>3</v>
      </c>
      <c r="EJ330">
        <v>0</v>
      </c>
      <c r="EK330">
        <v>2</v>
      </c>
      <c r="EL330">
        <v>0</v>
      </c>
      <c r="EM330">
        <v>0</v>
      </c>
      <c r="EN330">
        <v>0</v>
      </c>
      <c r="EO330">
        <v>0</v>
      </c>
      <c r="EP330">
        <v>1</v>
      </c>
      <c r="EQ330">
        <v>0</v>
      </c>
      <c r="ER330">
        <v>3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</row>
    <row r="331" spans="1:172" ht="14.25">
      <c r="A331">
        <v>326</v>
      </c>
      <c r="B331" t="str">
        <f aca="true" t="shared" si="65" ref="B331:B343">"101807"</f>
        <v>101807</v>
      </c>
      <c r="C331" t="str">
        <f aca="true" t="shared" si="66" ref="C331:C343">"Wieruszów"</f>
        <v>Wieruszów</v>
      </c>
      <c r="D331" t="str">
        <f t="shared" si="61"/>
        <v>wieruszowski</v>
      </c>
      <c r="E331" t="str">
        <f t="shared" si="64"/>
        <v>łódzkie</v>
      </c>
      <c r="F331">
        <v>1</v>
      </c>
      <c r="G331" t="str">
        <f>"Zespół Szkół Nr 2 w Wieruszowie, Teklinowska 27, 98-400 Wieruszów"</f>
        <v>Zespół Szkół Nr 2 w Wieruszowie, Teklinowska 27, 98-400 Wieruszów</v>
      </c>
      <c r="H331">
        <v>993</v>
      </c>
      <c r="I331">
        <v>993</v>
      </c>
      <c r="J331">
        <v>0</v>
      </c>
      <c r="K331">
        <v>700</v>
      </c>
      <c r="L331">
        <v>449</v>
      </c>
      <c r="M331">
        <v>251</v>
      </c>
      <c r="N331">
        <v>251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251</v>
      </c>
      <c r="Z331">
        <v>0</v>
      </c>
      <c r="AA331">
        <v>0</v>
      </c>
      <c r="AB331">
        <v>251</v>
      </c>
      <c r="AC331">
        <v>15</v>
      </c>
      <c r="AD331">
        <v>236</v>
      </c>
      <c r="AE331">
        <v>14</v>
      </c>
      <c r="AF331">
        <v>5</v>
      </c>
      <c r="AG331">
        <v>0</v>
      </c>
      <c r="AH331">
        <v>2</v>
      </c>
      <c r="AI331">
        <v>1</v>
      </c>
      <c r="AJ331">
        <v>0</v>
      </c>
      <c r="AK331">
        <v>1</v>
      </c>
      <c r="AL331">
        <v>0</v>
      </c>
      <c r="AM331">
        <v>1</v>
      </c>
      <c r="AN331">
        <v>2</v>
      </c>
      <c r="AO331">
        <v>2</v>
      </c>
      <c r="AP331">
        <v>14</v>
      </c>
      <c r="AQ331">
        <v>6</v>
      </c>
      <c r="AR331">
        <v>2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1</v>
      </c>
      <c r="AY331">
        <v>0</v>
      </c>
      <c r="AZ331">
        <v>1</v>
      </c>
      <c r="BA331">
        <v>2</v>
      </c>
      <c r="BB331">
        <v>6</v>
      </c>
      <c r="BC331">
        <v>16</v>
      </c>
      <c r="BD331">
        <v>7</v>
      </c>
      <c r="BE331">
        <v>2</v>
      </c>
      <c r="BF331">
        <v>1</v>
      </c>
      <c r="BG331">
        <v>0</v>
      </c>
      <c r="BH331">
        <v>0</v>
      </c>
      <c r="BI331">
        <v>2</v>
      </c>
      <c r="BJ331">
        <v>3</v>
      </c>
      <c r="BK331">
        <v>0</v>
      </c>
      <c r="BL331">
        <v>1</v>
      </c>
      <c r="BM331">
        <v>0</v>
      </c>
      <c r="BN331">
        <v>16</v>
      </c>
      <c r="BO331">
        <v>63</v>
      </c>
      <c r="BP331">
        <v>51</v>
      </c>
      <c r="BQ331">
        <v>4</v>
      </c>
      <c r="BR331">
        <v>1</v>
      </c>
      <c r="BS331">
        <v>4</v>
      </c>
      <c r="BT331">
        <v>0</v>
      </c>
      <c r="BU331">
        <v>0</v>
      </c>
      <c r="BV331">
        <v>0</v>
      </c>
      <c r="BW331">
        <v>1</v>
      </c>
      <c r="BX331">
        <v>1</v>
      </c>
      <c r="BY331">
        <v>1</v>
      </c>
      <c r="BZ331">
        <v>63</v>
      </c>
      <c r="CA331">
        <v>2</v>
      </c>
      <c r="CB331">
        <v>0</v>
      </c>
      <c r="CC331">
        <v>1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1</v>
      </c>
      <c r="CK331">
        <v>0</v>
      </c>
      <c r="CL331">
        <v>2</v>
      </c>
      <c r="CM331">
        <v>4</v>
      </c>
      <c r="CN331">
        <v>3</v>
      </c>
      <c r="CO331">
        <v>1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4</v>
      </c>
      <c r="CY331">
        <v>25</v>
      </c>
      <c r="CZ331">
        <v>14</v>
      </c>
      <c r="DA331">
        <v>3</v>
      </c>
      <c r="DB331">
        <v>0</v>
      </c>
      <c r="DC331">
        <v>0</v>
      </c>
      <c r="DD331">
        <v>5</v>
      </c>
      <c r="DE331">
        <v>0</v>
      </c>
      <c r="DF331">
        <v>0</v>
      </c>
      <c r="DG331">
        <v>2</v>
      </c>
      <c r="DH331">
        <v>0</v>
      </c>
      <c r="DI331">
        <v>1</v>
      </c>
      <c r="DJ331">
        <v>25</v>
      </c>
      <c r="DK331">
        <v>64</v>
      </c>
      <c r="DL331">
        <v>55</v>
      </c>
      <c r="DM331">
        <v>6</v>
      </c>
      <c r="DN331">
        <v>0</v>
      </c>
      <c r="DO331">
        <v>1</v>
      </c>
      <c r="DP331">
        <v>0</v>
      </c>
      <c r="DQ331">
        <v>0</v>
      </c>
      <c r="DR331">
        <v>0</v>
      </c>
      <c r="DS331">
        <v>1</v>
      </c>
      <c r="DT331">
        <v>0</v>
      </c>
      <c r="DU331">
        <v>1</v>
      </c>
      <c r="DV331">
        <v>64</v>
      </c>
      <c r="DW331">
        <v>40</v>
      </c>
      <c r="DX331">
        <v>1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39</v>
      </c>
      <c r="EE331">
        <v>0</v>
      </c>
      <c r="EF331">
        <v>0</v>
      </c>
      <c r="EG331">
        <v>0</v>
      </c>
      <c r="EH331">
        <v>40</v>
      </c>
      <c r="EI331">
        <v>1</v>
      </c>
      <c r="EJ331">
        <v>0</v>
      </c>
      <c r="EK331">
        <v>1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1</v>
      </c>
      <c r="ES331">
        <v>1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1</v>
      </c>
      <c r="EZ331">
        <v>0</v>
      </c>
      <c r="FA331">
        <v>0</v>
      </c>
      <c r="FB331">
        <v>0</v>
      </c>
      <c r="FC331">
        <v>0</v>
      </c>
      <c r="FD331">
        <v>1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</row>
    <row r="332" spans="1:172" ht="14.25">
      <c r="A332">
        <v>327</v>
      </c>
      <c r="B332" t="str">
        <f t="shared" si="65"/>
        <v>101807</v>
      </c>
      <c r="C332" t="str">
        <f t="shared" si="66"/>
        <v>Wieruszów</v>
      </c>
      <c r="D332" t="str">
        <f t="shared" si="61"/>
        <v>wieruszowski</v>
      </c>
      <c r="E332" t="str">
        <f t="shared" si="64"/>
        <v>łódzkie</v>
      </c>
      <c r="F332">
        <v>2</v>
      </c>
      <c r="G332" t="str">
        <f>"Wieruszowski Dom Kultury, Rynek 8/9, 98-400 Wieruszów"</f>
        <v>Wieruszowski Dom Kultury, Rynek 8/9, 98-400 Wieruszów</v>
      </c>
      <c r="H332">
        <v>1587</v>
      </c>
      <c r="I332">
        <v>1587</v>
      </c>
      <c r="J332">
        <v>0</v>
      </c>
      <c r="K332">
        <v>1109</v>
      </c>
      <c r="L332">
        <v>601</v>
      </c>
      <c r="M332">
        <v>508</v>
      </c>
      <c r="N332">
        <v>508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508</v>
      </c>
      <c r="Z332">
        <v>0</v>
      </c>
      <c r="AA332">
        <v>0</v>
      </c>
      <c r="AB332">
        <v>508</v>
      </c>
      <c r="AC332">
        <v>28</v>
      </c>
      <c r="AD332">
        <v>480</v>
      </c>
      <c r="AE332">
        <v>13</v>
      </c>
      <c r="AF332">
        <v>6</v>
      </c>
      <c r="AG332">
        <v>0</v>
      </c>
      <c r="AH332">
        <v>3</v>
      </c>
      <c r="AI332">
        <v>1</v>
      </c>
      <c r="AJ332">
        <v>1</v>
      </c>
      <c r="AK332">
        <v>0</v>
      </c>
      <c r="AL332">
        <v>0</v>
      </c>
      <c r="AM332">
        <v>1</v>
      </c>
      <c r="AN332">
        <v>0</v>
      </c>
      <c r="AO332">
        <v>1</v>
      </c>
      <c r="AP332">
        <v>13</v>
      </c>
      <c r="AQ332">
        <v>8</v>
      </c>
      <c r="AR332">
        <v>7</v>
      </c>
      <c r="AS332">
        <v>0</v>
      </c>
      <c r="AT332">
        <v>0</v>
      </c>
      <c r="AU332">
        <v>0</v>
      </c>
      <c r="AV332">
        <v>1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8</v>
      </c>
      <c r="BC332">
        <v>30</v>
      </c>
      <c r="BD332">
        <v>20</v>
      </c>
      <c r="BE332">
        <v>4</v>
      </c>
      <c r="BF332">
        <v>2</v>
      </c>
      <c r="BG332">
        <v>1</v>
      </c>
      <c r="BH332">
        <v>0</v>
      </c>
      <c r="BI332">
        <v>0</v>
      </c>
      <c r="BJ332">
        <v>1</v>
      </c>
      <c r="BK332">
        <v>0</v>
      </c>
      <c r="BL332">
        <v>0</v>
      </c>
      <c r="BM332">
        <v>2</v>
      </c>
      <c r="BN332">
        <v>30</v>
      </c>
      <c r="BO332">
        <v>180</v>
      </c>
      <c r="BP332">
        <v>152</v>
      </c>
      <c r="BQ332">
        <v>2</v>
      </c>
      <c r="BR332">
        <v>4</v>
      </c>
      <c r="BS332">
        <v>13</v>
      </c>
      <c r="BT332">
        <v>2</v>
      </c>
      <c r="BU332">
        <v>1</v>
      </c>
      <c r="BV332">
        <v>5</v>
      </c>
      <c r="BW332">
        <v>0</v>
      </c>
      <c r="BX332">
        <v>0</v>
      </c>
      <c r="BY332">
        <v>1</v>
      </c>
      <c r="BZ332">
        <v>180</v>
      </c>
      <c r="CA332">
        <v>7</v>
      </c>
      <c r="CB332">
        <v>3</v>
      </c>
      <c r="CC332">
        <v>2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2</v>
      </c>
      <c r="CL332">
        <v>7</v>
      </c>
      <c r="CM332">
        <v>9</v>
      </c>
      <c r="CN332">
        <v>8</v>
      </c>
      <c r="CO332">
        <v>1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9</v>
      </c>
      <c r="CY332">
        <v>13</v>
      </c>
      <c r="CZ332">
        <v>8</v>
      </c>
      <c r="DA332">
        <v>0</v>
      </c>
      <c r="DB332">
        <v>1</v>
      </c>
      <c r="DC332">
        <v>0</v>
      </c>
      <c r="DD332">
        <v>0</v>
      </c>
      <c r="DE332">
        <v>0</v>
      </c>
      <c r="DF332">
        <v>1</v>
      </c>
      <c r="DG332">
        <v>1</v>
      </c>
      <c r="DH332">
        <v>1</v>
      </c>
      <c r="DI332">
        <v>1</v>
      </c>
      <c r="DJ332">
        <v>13</v>
      </c>
      <c r="DK332">
        <v>122</v>
      </c>
      <c r="DL332">
        <v>95</v>
      </c>
      <c r="DM332">
        <v>14</v>
      </c>
      <c r="DN332">
        <v>0</v>
      </c>
      <c r="DO332">
        <v>2</v>
      </c>
      <c r="DP332">
        <v>3</v>
      </c>
      <c r="DQ332">
        <v>3</v>
      </c>
      <c r="DR332">
        <v>2</v>
      </c>
      <c r="DS332">
        <v>0</v>
      </c>
      <c r="DT332">
        <v>1</v>
      </c>
      <c r="DU332">
        <v>2</v>
      </c>
      <c r="DV332">
        <v>122</v>
      </c>
      <c r="DW332">
        <v>96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1</v>
      </c>
      <c r="ED332">
        <v>95</v>
      </c>
      <c r="EE332">
        <v>0</v>
      </c>
      <c r="EF332">
        <v>0</v>
      </c>
      <c r="EG332">
        <v>0</v>
      </c>
      <c r="EH332">
        <v>96</v>
      </c>
      <c r="EI332">
        <v>1</v>
      </c>
      <c r="EJ332">
        <v>0</v>
      </c>
      <c r="EK332">
        <v>1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1</v>
      </c>
      <c r="ES332">
        <v>1</v>
      </c>
      <c r="ET332">
        <v>1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1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</row>
    <row r="333" spans="1:172" ht="14.25">
      <c r="A333">
        <v>328</v>
      </c>
      <c r="B333" t="str">
        <f t="shared" si="65"/>
        <v>101807</v>
      </c>
      <c r="C333" t="str">
        <f t="shared" si="66"/>
        <v>Wieruszów</v>
      </c>
      <c r="D333" t="str">
        <f t="shared" si="61"/>
        <v>wieruszowski</v>
      </c>
      <c r="E333" t="str">
        <f t="shared" si="64"/>
        <v>łódzkie</v>
      </c>
      <c r="F333">
        <v>3</v>
      </c>
      <c r="G333" t="str">
        <f>"Szkoła Podstawowa Nr 1 w Wieruszowie, Fabryczna 1, 98-400 Wieruszów"</f>
        <v>Szkoła Podstawowa Nr 1 w Wieruszowie, Fabryczna 1, 98-400 Wieruszów</v>
      </c>
      <c r="H333">
        <v>1124</v>
      </c>
      <c r="I333">
        <v>1124</v>
      </c>
      <c r="J333">
        <v>0</v>
      </c>
      <c r="K333">
        <v>780</v>
      </c>
      <c r="L333">
        <v>468</v>
      </c>
      <c r="M333">
        <v>312</v>
      </c>
      <c r="N333">
        <v>312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312</v>
      </c>
      <c r="Z333">
        <v>0</v>
      </c>
      <c r="AA333">
        <v>0</v>
      </c>
      <c r="AB333">
        <v>312</v>
      </c>
      <c r="AC333">
        <v>7</v>
      </c>
      <c r="AD333">
        <v>305</v>
      </c>
      <c r="AE333">
        <v>9</v>
      </c>
      <c r="AF333">
        <v>3</v>
      </c>
      <c r="AG333">
        <v>2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1</v>
      </c>
      <c r="AN333">
        <v>0</v>
      </c>
      <c r="AO333">
        <v>3</v>
      </c>
      <c r="AP333">
        <v>9</v>
      </c>
      <c r="AQ333">
        <v>2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1</v>
      </c>
      <c r="AY333">
        <v>0</v>
      </c>
      <c r="AZ333">
        <v>1</v>
      </c>
      <c r="BA333">
        <v>0</v>
      </c>
      <c r="BB333">
        <v>2</v>
      </c>
      <c r="BC333">
        <v>25</v>
      </c>
      <c r="BD333">
        <v>17</v>
      </c>
      <c r="BE333">
        <v>2</v>
      </c>
      <c r="BF333">
        <v>1</v>
      </c>
      <c r="BG333">
        <v>0</v>
      </c>
      <c r="BH333">
        <v>0</v>
      </c>
      <c r="BI333">
        <v>3</v>
      </c>
      <c r="BJ333">
        <v>1</v>
      </c>
      <c r="BK333">
        <v>0</v>
      </c>
      <c r="BL333">
        <v>0</v>
      </c>
      <c r="BM333">
        <v>1</v>
      </c>
      <c r="BN333">
        <v>25</v>
      </c>
      <c r="BO333">
        <v>91</v>
      </c>
      <c r="BP333">
        <v>76</v>
      </c>
      <c r="BQ333">
        <v>4</v>
      </c>
      <c r="BR333">
        <v>3</v>
      </c>
      <c r="BS333">
        <v>4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4</v>
      </c>
      <c r="BZ333">
        <v>91</v>
      </c>
      <c r="CA333">
        <v>6</v>
      </c>
      <c r="CB333">
        <v>2</v>
      </c>
      <c r="CC333">
        <v>2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2</v>
      </c>
      <c r="CL333">
        <v>6</v>
      </c>
      <c r="CM333">
        <v>4</v>
      </c>
      <c r="CN333">
        <v>3</v>
      </c>
      <c r="CO333">
        <v>0</v>
      </c>
      <c r="CP333">
        <v>0</v>
      </c>
      <c r="CQ333">
        <v>0</v>
      </c>
      <c r="CR333">
        <v>0</v>
      </c>
      <c r="CS333">
        <v>1</v>
      </c>
      <c r="CT333">
        <v>0</v>
      </c>
      <c r="CU333">
        <v>0</v>
      </c>
      <c r="CV333">
        <v>0</v>
      </c>
      <c r="CW333">
        <v>0</v>
      </c>
      <c r="CX333">
        <v>4</v>
      </c>
      <c r="CY333">
        <v>21</v>
      </c>
      <c r="CZ333">
        <v>9</v>
      </c>
      <c r="DA333">
        <v>2</v>
      </c>
      <c r="DB333">
        <v>2</v>
      </c>
      <c r="DC333">
        <v>0</v>
      </c>
      <c r="DD333">
        <v>1</v>
      </c>
      <c r="DE333">
        <v>0</v>
      </c>
      <c r="DF333">
        <v>2</v>
      </c>
      <c r="DG333">
        <v>2</v>
      </c>
      <c r="DH333">
        <v>2</v>
      </c>
      <c r="DI333">
        <v>1</v>
      </c>
      <c r="DJ333">
        <v>21</v>
      </c>
      <c r="DK333">
        <v>102</v>
      </c>
      <c r="DL333">
        <v>82</v>
      </c>
      <c r="DM333">
        <v>5</v>
      </c>
      <c r="DN333">
        <v>2</v>
      </c>
      <c r="DO333">
        <v>5</v>
      </c>
      <c r="DP333">
        <v>1</v>
      </c>
      <c r="DQ333">
        <v>3</v>
      </c>
      <c r="DR333">
        <v>1</v>
      </c>
      <c r="DS333">
        <v>2</v>
      </c>
      <c r="DT333">
        <v>0</v>
      </c>
      <c r="DU333">
        <v>1</v>
      </c>
      <c r="DV333">
        <v>102</v>
      </c>
      <c r="DW333">
        <v>41</v>
      </c>
      <c r="DX333">
        <v>3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38</v>
      </c>
      <c r="EE333">
        <v>0</v>
      </c>
      <c r="EF333">
        <v>0</v>
      </c>
      <c r="EG333">
        <v>0</v>
      </c>
      <c r="EH333">
        <v>41</v>
      </c>
      <c r="EI333">
        <v>4</v>
      </c>
      <c r="EJ333">
        <v>0</v>
      </c>
      <c r="EK333">
        <v>2</v>
      </c>
      <c r="EL333">
        <v>0</v>
      </c>
      <c r="EM333">
        <v>1</v>
      </c>
      <c r="EN333">
        <v>0</v>
      </c>
      <c r="EO333">
        <v>0</v>
      </c>
      <c r="EP333">
        <v>1</v>
      </c>
      <c r="EQ333">
        <v>0</v>
      </c>
      <c r="ER333">
        <v>4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</row>
    <row r="334" spans="1:172" ht="14.25">
      <c r="A334">
        <v>329</v>
      </c>
      <c r="B334" t="str">
        <f t="shared" si="65"/>
        <v>101807</v>
      </c>
      <c r="C334" t="str">
        <f t="shared" si="66"/>
        <v>Wieruszów</v>
      </c>
      <c r="D334" t="str">
        <f t="shared" si="61"/>
        <v>wieruszowski</v>
      </c>
      <c r="E334" t="str">
        <f t="shared" si="64"/>
        <v>łódzkie</v>
      </c>
      <c r="F334">
        <v>4</v>
      </c>
      <c r="G334" t="str">
        <f>"Gimnazjum Nr 1 w Wieruszowie, Warszawska 123a, 98-400 Wieruszów"</f>
        <v>Gimnazjum Nr 1 w Wieruszowie, Warszawska 123a, 98-400 Wieruszów</v>
      </c>
      <c r="H334">
        <v>1477</v>
      </c>
      <c r="I334">
        <v>1477</v>
      </c>
      <c r="J334">
        <v>0</v>
      </c>
      <c r="K334">
        <v>1040</v>
      </c>
      <c r="L334">
        <v>742</v>
      </c>
      <c r="M334">
        <v>298</v>
      </c>
      <c r="N334">
        <v>298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298</v>
      </c>
      <c r="Z334">
        <v>0</v>
      </c>
      <c r="AA334">
        <v>0</v>
      </c>
      <c r="AB334">
        <v>298</v>
      </c>
      <c r="AC334">
        <v>10</v>
      </c>
      <c r="AD334">
        <v>288</v>
      </c>
      <c r="AE334">
        <v>6</v>
      </c>
      <c r="AF334">
        <v>4</v>
      </c>
      <c r="AG334">
        <v>0</v>
      </c>
      <c r="AH334">
        <v>0</v>
      </c>
      <c r="AI334">
        <v>0</v>
      </c>
      <c r="AJ334">
        <v>1</v>
      </c>
      <c r="AK334">
        <v>0</v>
      </c>
      <c r="AL334">
        <v>0</v>
      </c>
      <c r="AM334">
        <v>0</v>
      </c>
      <c r="AN334">
        <v>0</v>
      </c>
      <c r="AO334">
        <v>1</v>
      </c>
      <c r="AP334">
        <v>6</v>
      </c>
      <c r="AQ334">
        <v>3</v>
      </c>
      <c r="AR334">
        <v>1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1</v>
      </c>
      <c r="BB334">
        <v>3</v>
      </c>
      <c r="BC334">
        <v>39</v>
      </c>
      <c r="BD334">
        <v>26</v>
      </c>
      <c r="BE334">
        <v>2</v>
      </c>
      <c r="BF334">
        <v>0</v>
      </c>
      <c r="BG334">
        <v>0</v>
      </c>
      <c r="BH334">
        <v>1</v>
      </c>
      <c r="BI334">
        <v>2</v>
      </c>
      <c r="BJ334">
        <v>3</v>
      </c>
      <c r="BK334">
        <v>0</v>
      </c>
      <c r="BL334">
        <v>1</v>
      </c>
      <c r="BM334">
        <v>4</v>
      </c>
      <c r="BN334">
        <v>39</v>
      </c>
      <c r="BO334">
        <v>88</v>
      </c>
      <c r="BP334">
        <v>64</v>
      </c>
      <c r="BQ334">
        <v>1</v>
      </c>
      <c r="BR334">
        <v>12</v>
      </c>
      <c r="BS334">
        <v>7</v>
      </c>
      <c r="BT334">
        <v>1</v>
      </c>
      <c r="BU334">
        <v>1</v>
      </c>
      <c r="BV334">
        <v>0</v>
      </c>
      <c r="BW334">
        <v>0</v>
      </c>
      <c r="BX334">
        <v>0</v>
      </c>
      <c r="BY334">
        <v>2</v>
      </c>
      <c r="BZ334">
        <v>88</v>
      </c>
      <c r="CA334">
        <v>11</v>
      </c>
      <c r="CB334">
        <v>4</v>
      </c>
      <c r="CC334">
        <v>0</v>
      </c>
      <c r="CD334">
        <v>0</v>
      </c>
      <c r="CE334">
        <v>0</v>
      </c>
      <c r="CF334">
        <v>0</v>
      </c>
      <c r="CG334">
        <v>2</v>
      </c>
      <c r="CH334">
        <v>2</v>
      </c>
      <c r="CI334">
        <v>1</v>
      </c>
      <c r="CJ334">
        <v>1</v>
      </c>
      <c r="CK334">
        <v>1</v>
      </c>
      <c r="CL334">
        <v>11</v>
      </c>
      <c r="CM334">
        <v>4</v>
      </c>
      <c r="CN334">
        <v>3</v>
      </c>
      <c r="CO334">
        <v>1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4</v>
      </c>
      <c r="CY334">
        <v>19</v>
      </c>
      <c r="CZ334">
        <v>14</v>
      </c>
      <c r="DA334">
        <v>1</v>
      </c>
      <c r="DB334">
        <v>0</v>
      </c>
      <c r="DC334">
        <v>0</v>
      </c>
      <c r="DD334">
        <v>1</v>
      </c>
      <c r="DE334">
        <v>2</v>
      </c>
      <c r="DF334">
        <v>0</v>
      </c>
      <c r="DG334">
        <v>0</v>
      </c>
      <c r="DH334">
        <v>1</v>
      </c>
      <c r="DI334">
        <v>0</v>
      </c>
      <c r="DJ334">
        <v>19</v>
      </c>
      <c r="DK334">
        <v>73</v>
      </c>
      <c r="DL334">
        <v>57</v>
      </c>
      <c r="DM334">
        <v>6</v>
      </c>
      <c r="DN334">
        <v>0</v>
      </c>
      <c r="DO334">
        <v>1</v>
      </c>
      <c r="DP334">
        <v>1</v>
      </c>
      <c r="DQ334">
        <v>1</v>
      </c>
      <c r="DR334">
        <v>2</v>
      </c>
      <c r="DS334">
        <v>2</v>
      </c>
      <c r="DT334">
        <v>1</v>
      </c>
      <c r="DU334">
        <v>2</v>
      </c>
      <c r="DV334">
        <v>73</v>
      </c>
      <c r="DW334">
        <v>41</v>
      </c>
      <c r="DX334">
        <v>3</v>
      </c>
      <c r="DY334">
        <v>0</v>
      </c>
      <c r="DZ334">
        <v>0</v>
      </c>
      <c r="EA334">
        <v>1</v>
      </c>
      <c r="EB334">
        <v>1</v>
      </c>
      <c r="EC334">
        <v>1</v>
      </c>
      <c r="ED334">
        <v>34</v>
      </c>
      <c r="EE334">
        <v>0</v>
      </c>
      <c r="EF334">
        <v>1</v>
      </c>
      <c r="EG334">
        <v>0</v>
      </c>
      <c r="EH334">
        <v>41</v>
      </c>
      <c r="EI334">
        <v>1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1</v>
      </c>
      <c r="EQ334">
        <v>0</v>
      </c>
      <c r="ER334">
        <v>1</v>
      </c>
      <c r="ES334">
        <v>2</v>
      </c>
      <c r="ET334">
        <v>1</v>
      </c>
      <c r="EU334">
        <v>0</v>
      </c>
      <c r="EV334">
        <v>0</v>
      </c>
      <c r="EW334">
        <v>0</v>
      </c>
      <c r="EX334">
        <v>0</v>
      </c>
      <c r="EY334">
        <v>1</v>
      </c>
      <c r="EZ334">
        <v>0</v>
      </c>
      <c r="FA334">
        <v>0</v>
      </c>
      <c r="FB334">
        <v>0</v>
      </c>
      <c r="FC334">
        <v>0</v>
      </c>
      <c r="FD334">
        <v>2</v>
      </c>
      <c r="FE334">
        <v>1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1</v>
      </c>
      <c r="FP334">
        <v>1</v>
      </c>
    </row>
    <row r="335" spans="1:172" ht="14.25">
      <c r="A335">
        <v>330</v>
      </c>
      <c r="B335" t="str">
        <f t="shared" si="65"/>
        <v>101807</v>
      </c>
      <c r="C335" t="str">
        <f t="shared" si="66"/>
        <v>Wieruszów</v>
      </c>
      <c r="D335" t="str">
        <f t="shared" si="61"/>
        <v>wieruszowski</v>
      </c>
      <c r="E335" t="str">
        <f t="shared" si="64"/>
        <v>łódzkie</v>
      </c>
      <c r="F335">
        <v>5</v>
      </c>
      <c r="G335" t="str">
        <f>"Gimnazjum Nr 1 w Wieruszowie, Warszawska 123a, 98-400 Wieruszów"</f>
        <v>Gimnazjum Nr 1 w Wieruszowie, Warszawska 123a, 98-400 Wieruszów</v>
      </c>
      <c r="H335">
        <v>1279</v>
      </c>
      <c r="I335">
        <v>1279</v>
      </c>
      <c r="J335">
        <v>0</v>
      </c>
      <c r="K335">
        <v>910</v>
      </c>
      <c r="L335">
        <v>563</v>
      </c>
      <c r="M335">
        <v>347</v>
      </c>
      <c r="N335">
        <v>347</v>
      </c>
      <c r="O335">
        <v>0</v>
      </c>
      <c r="P335">
        <v>0</v>
      </c>
      <c r="Q335">
        <v>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347</v>
      </c>
      <c r="Z335">
        <v>0</v>
      </c>
      <c r="AA335">
        <v>1</v>
      </c>
      <c r="AB335">
        <v>346</v>
      </c>
      <c r="AC335">
        <v>9</v>
      </c>
      <c r="AD335">
        <v>337</v>
      </c>
      <c r="AE335">
        <v>6</v>
      </c>
      <c r="AF335">
        <v>2</v>
      </c>
      <c r="AG335">
        <v>3</v>
      </c>
      <c r="AH335">
        <v>1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6</v>
      </c>
      <c r="AQ335">
        <v>10</v>
      </c>
      <c r="AR335">
        <v>2</v>
      </c>
      <c r="AS335">
        <v>0</v>
      </c>
      <c r="AT335">
        <v>0</v>
      </c>
      <c r="AU335">
        <v>0</v>
      </c>
      <c r="AV335">
        <v>1</v>
      </c>
      <c r="AW335">
        <v>0</v>
      </c>
      <c r="AX335">
        <v>3</v>
      </c>
      <c r="AY335">
        <v>2</v>
      </c>
      <c r="AZ335">
        <v>1</v>
      </c>
      <c r="BA335">
        <v>1</v>
      </c>
      <c r="BB335">
        <v>10</v>
      </c>
      <c r="BC335">
        <v>28</v>
      </c>
      <c r="BD335">
        <v>18</v>
      </c>
      <c r="BE335">
        <v>2</v>
      </c>
      <c r="BF335">
        <v>2</v>
      </c>
      <c r="BG335">
        <v>0</v>
      </c>
      <c r="BH335">
        <v>2</v>
      </c>
      <c r="BI335">
        <v>0</v>
      </c>
      <c r="BJ335">
        <v>0</v>
      </c>
      <c r="BK335">
        <v>1</v>
      </c>
      <c r="BL335">
        <v>3</v>
      </c>
      <c r="BM335">
        <v>0</v>
      </c>
      <c r="BN335">
        <v>28</v>
      </c>
      <c r="BO335">
        <v>101</v>
      </c>
      <c r="BP335">
        <v>90</v>
      </c>
      <c r="BQ335">
        <v>3</v>
      </c>
      <c r="BR335">
        <v>2</v>
      </c>
      <c r="BS335">
        <v>6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101</v>
      </c>
      <c r="CA335">
        <v>7</v>
      </c>
      <c r="CB335">
        <v>1</v>
      </c>
      <c r="CC335">
        <v>1</v>
      </c>
      <c r="CD335">
        <v>0</v>
      </c>
      <c r="CE335">
        <v>0</v>
      </c>
      <c r="CF335">
        <v>0</v>
      </c>
      <c r="CG335">
        <v>3</v>
      </c>
      <c r="CH335">
        <v>1</v>
      </c>
      <c r="CI335">
        <v>1</v>
      </c>
      <c r="CJ335">
        <v>0</v>
      </c>
      <c r="CK335">
        <v>0</v>
      </c>
      <c r="CL335">
        <v>7</v>
      </c>
      <c r="CM335">
        <v>5</v>
      </c>
      <c r="CN335">
        <v>4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1</v>
      </c>
      <c r="CV335">
        <v>0</v>
      </c>
      <c r="CW335">
        <v>0</v>
      </c>
      <c r="CX335">
        <v>5</v>
      </c>
      <c r="CY335">
        <v>27</v>
      </c>
      <c r="CZ335">
        <v>13</v>
      </c>
      <c r="DA335">
        <v>1</v>
      </c>
      <c r="DB335">
        <v>0</v>
      </c>
      <c r="DC335">
        <v>2</v>
      </c>
      <c r="DD335">
        <v>1</v>
      </c>
      <c r="DE335">
        <v>4</v>
      </c>
      <c r="DF335">
        <v>1</v>
      </c>
      <c r="DG335">
        <v>3</v>
      </c>
      <c r="DH335">
        <v>1</v>
      </c>
      <c r="DI335">
        <v>1</v>
      </c>
      <c r="DJ335">
        <v>27</v>
      </c>
      <c r="DK335">
        <v>93</v>
      </c>
      <c r="DL335">
        <v>62</v>
      </c>
      <c r="DM335">
        <v>13</v>
      </c>
      <c r="DN335">
        <v>1</v>
      </c>
      <c r="DO335">
        <v>4</v>
      </c>
      <c r="DP335">
        <v>2</v>
      </c>
      <c r="DQ335">
        <v>4</v>
      </c>
      <c r="DR335">
        <v>4</v>
      </c>
      <c r="DS335">
        <v>2</v>
      </c>
      <c r="DT335">
        <v>0</v>
      </c>
      <c r="DU335">
        <v>1</v>
      </c>
      <c r="DV335">
        <v>93</v>
      </c>
      <c r="DW335">
        <v>58</v>
      </c>
      <c r="DX335">
        <v>1</v>
      </c>
      <c r="DY335">
        <v>0</v>
      </c>
      <c r="DZ335">
        <v>0</v>
      </c>
      <c r="EA335">
        <v>0</v>
      </c>
      <c r="EB335">
        <v>1</v>
      </c>
      <c r="EC335">
        <v>0</v>
      </c>
      <c r="ED335">
        <v>56</v>
      </c>
      <c r="EE335">
        <v>0</v>
      </c>
      <c r="EF335">
        <v>0</v>
      </c>
      <c r="EG335">
        <v>0</v>
      </c>
      <c r="EH335">
        <v>58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1</v>
      </c>
      <c r="ET335">
        <v>1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1</v>
      </c>
      <c r="FE335">
        <v>1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1</v>
      </c>
      <c r="FL335">
        <v>0</v>
      </c>
      <c r="FM335">
        <v>0</v>
      </c>
      <c r="FN335">
        <v>0</v>
      </c>
      <c r="FO335">
        <v>0</v>
      </c>
      <c r="FP335">
        <v>1</v>
      </c>
    </row>
    <row r="336" spans="1:172" ht="14.25">
      <c r="A336">
        <v>331</v>
      </c>
      <c r="B336" t="str">
        <f t="shared" si="65"/>
        <v>101807</v>
      </c>
      <c r="C336" t="str">
        <f t="shared" si="66"/>
        <v>Wieruszów</v>
      </c>
      <c r="D336" t="str">
        <f t="shared" si="61"/>
        <v>wieruszowski</v>
      </c>
      <c r="E336" t="str">
        <f t="shared" si="64"/>
        <v>łódzkie</v>
      </c>
      <c r="F336">
        <v>6</v>
      </c>
      <c r="G336" t="str">
        <f>"Zespół Szkół Ponadgimnazjalnych im. Stanisława Staszica, Szkolna 1-3, 98-400 Wieruszów"</f>
        <v>Zespół Szkół Ponadgimnazjalnych im. Stanisława Staszica, Szkolna 1-3, 98-400 Wieruszów</v>
      </c>
      <c r="H336">
        <v>581</v>
      </c>
      <c r="I336">
        <v>581</v>
      </c>
      <c r="J336">
        <v>0</v>
      </c>
      <c r="K336">
        <v>410</v>
      </c>
      <c r="L336">
        <v>220</v>
      </c>
      <c r="M336">
        <v>190</v>
      </c>
      <c r="N336">
        <v>190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190</v>
      </c>
      <c r="Z336">
        <v>0</v>
      </c>
      <c r="AA336">
        <v>0</v>
      </c>
      <c r="AB336">
        <v>190</v>
      </c>
      <c r="AC336">
        <v>5</v>
      </c>
      <c r="AD336">
        <v>185</v>
      </c>
      <c r="AE336">
        <v>2</v>
      </c>
      <c r="AF336">
        <v>2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2</v>
      </c>
      <c r="AQ336">
        <v>1</v>
      </c>
      <c r="AR336">
        <v>1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1</v>
      </c>
      <c r="BC336">
        <v>17</v>
      </c>
      <c r="BD336">
        <v>12</v>
      </c>
      <c r="BE336">
        <v>2</v>
      </c>
      <c r="BF336">
        <v>1</v>
      </c>
      <c r="BG336">
        <v>0</v>
      </c>
      <c r="BH336">
        <v>0</v>
      </c>
      <c r="BI336">
        <v>1</v>
      </c>
      <c r="BJ336">
        <v>0</v>
      </c>
      <c r="BK336">
        <v>0</v>
      </c>
      <c r="BL336">
        <v>0</v>
      </c>
      <c r="BM336">
        <v>1</v>
      </c>
      <c r="BN336">
        <v>17</v>
      </c>
      <c r="BO336">
        <v>52</v>
      </c>
      <c r="BP336">
        <v>41</v>
      </c>
      <c r="BQ336">
        <v>3</v>
      </c>
      <c r="BR336">
        <v>0</v>
      </c>
      <c r="BS336">
        <v>6</v>
      </c>
      <c r="BT336">
        <v>1</v>
      </c>
      <c r="BU336">
        <v>0</v>
      </c>
      <c r="BV336">
        <v>0</v>
      </c>
      <c r="BW336">
        <v>1</v>
      </c>
      <c r="BX336">
        <v>0</v>
      </c>
      <c r="BY336">
        <v>0</v>
      </c>
      <c r="BZ336">
        <v>52</v>
      </c>
      <c r="CA336">
        <v>3</v>
      </c>
      <c r="CB336">
        <v>3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3</v>
      </c>
      <c r="CM336">
        <v>2</v>
      </c>
      <c r="CN336">
        <v>1</v>
      </c>
      <c r="CO336">
        <v>0</v>
      </c>
      <c r="CP336">
        <v>0</v>
      </c>
      <c r="CQ336">
        <v>1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2</v>
      </c>
      <c r="CY336">
        <v>10</v>
      </c>
      <c r="CZ336">
        <v>8</v>
      </c>
      <c r="DA336">
        <v>0</v>
      </c>
      <c r="DB336">
        <v>0</v>
      </c>
      <c r="DC336">
        <v>1</v>
      </c>
      <c r="DD336">
        <v>0</v>
      </c>
      <c r="DE336">
        <v>0</v>
      </c>
      <c r="DF336">
        <v>0</v>
      </c>
      <c r="DG336">
        <v>1</v>
      </c>
      <c r="DH336">
        <v>0</v>
      </c>
      <c r="DI336">
        <v>0</v>
      </c>
      <c r="DJ336">
        <v>10</v>
      </c>
      <c r="DK336">
        <v>41</v>
      </c>
      <c r="DL336">
        <v>36</v>
      </c>
      <c r="DM336">
        <v>2</v>
      </c>
      <c r="DN336">
        <v>0</v>
      </c>
      <c r="DO336">
        <v>1</v>
      </c>
      <c r="DP336">
        <v>1</v>
      </c>
      <c r="DQ336">
        <v>1</v>
      </c>
      <c r="DR336">
        <v>0</v>
      </c>
      <c r="DS336">
        <v>0</v>
      </c>
      <c r="DT336">
        <v>0</v>
      </c>
      <c r="DU336">
        <v>0</v>
      </c>
      <c r="DV336">
        <v>41</v>
      </c>
      <c r="DW336">
        <v>57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57</v>
      </c>
      <c r="EE336">
        <v>0</v>
      </c>
      <c r="EF336">
        <v>0</v>
      </c>
      <c r="EG336">
        <v>0</v>
      </c>
      <c r="EH336">
        <v>57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</row>
    <row r="337" spans="1:172" ht="14.25">
      <c r="A337">
        <v>332</v>
      </c>
      <c r="B337" t="str">
        <f t="shared" si="65"/>
        <v>101807</v>
      </c>
      <c r="C337" t="str">
        <f t="shared" si="66"/>
        <v>Wieruszów</v>
      </c>
      <c r="D337" t="str">
        <f t="shared" si="61"/>
        <v>wieruszowski</v>
      </c>
      <c r="E337" t="str">
        <f t="shared" si="64"/>
        <v>łódzkie</v>
      </c>
      <c r="F337">
        <v>7</v>
      </c>
      <c r="G337" t="str">
        <f>"Szkoła Podstawowa w Teklinowie, Teklinów 56, 98-400 Wieruszów"</f>
        <v>Szkoła Podstawowa w Teklinowie, Teklinów 56, 98-400 Wieruszów</v>
      </c>
      <c r="H337">
        <v>776</v>
      </c>
      <c r="I337">
        <v>776</v>
      </c>
      <c r="J337">
        <v>0</v>
      </c>
      <c r="K337">
        <v>540</v>
      </c>
      <c r="L337">
        <v>382</v>
      </c>
      <c r="M337">
        <v>158</v>
      </c>
      <c r="N337">
        <v>158</v>
      </c>
      <c r="O337">
        <v>0</v>
      </c>
      <c r="P337">
        <v>0</v>
      </c>
      <c r="Q337">
        <v>3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158</v>
      </c>
      <c r="Z337">
        <v>0</v>
      </c>
      <c r="AA337">
        <v>0</v>
      </c>
      <c r="AB337">
        <v>158</v>
      </c>
      <c r="AC337">
        <v>7</v>
      </c>
      <c r="AD337">
        <v>151</v>
      </c>
      <c r="AE337">
        <v>2</v>
      </c>
      <c r="AF337">
        <v>2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2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4</v>
      </c>
      <c r="BD337">
        <v>2</v>
      </c>
      <c r="BE337">
        <v>1</v>
      </c>
      <c r="BF337">
        <v>0</v>
      </c>
      <c r="BG337">
        <v>1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4</v>
      </c>
      <c r="BO337">
        <v>34</v>
      </c>
      <c r="BP337">
        <v>33</v>
      </c>
      <c r="BQ337">
        <v>0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34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1</v>
      </c>
      <c r="CN337">
        <v>1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1</v>
      </c>
      <c r="CY337">
        <v>4</v>
      </c>
      <c r="CZ337">
        <v>4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4</v>
      </c>
      <c r="DK337">
        <v>19</v>
      </c>
      <c r="DL337">
        <v>11</v>
      </c>
      <c r="DM337">
        <v>1</v>
      </c>
      <c r="DN337">
        <v>1</v>
      </c>
      <c r="DO337">
        <v>0</v>
      </c>
      <c r="DP337">
        <v>4</v>
      </c>
      <c r="DQ337">
        <v>2</v>
      </c>
      <c r="DR337">
        <v>0</v>
      </c>
      <c r="DS337">
        <v>0</v>
      </c>
      <c r="DT337">
        <v>0</v>
      </c>
      <c r="DU337">
        <v>0</v>
      </c>
      <c r="DV337">
        <v>19</v>
      </c>
      <c r="DW337">
        <v>87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87</v>
      </c>
      <c r="EE337">
        <v>0</v>
      </c>
      <c r="EF337">
        <v>0</v>
      </c>
      <c r="EG337">
        <v>0</v>
      </c>
      <c r="EH337">
        <v>87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</row>
    <row r="338" spans="1:172" ht="14.25">
      <c r="A338">
        <v>333</v>
      </c>
      <c r="B338" t="str">
        <f t="shared" si="65"/>
        <v>101807</v>
      </c>
      <c r="C338" t="str">
        <f t="shared" si="66"/>
        <v>Wieruszów</v>
      </c>
      <c r="D338" t="str">
        <f t="shared" si="61"/>
        <v>wieruszowski</v>
      </c>
      <c r="E338" t="str">
        <f t="shared" si="64"/>
        <v>łódzkie</v>
      </c>
      <c r="F338">
        <v>8</v>
      </c>
      <c r="G338" t="str">
        <f>"Budynek szkolny w Kuźnicy Skakawskiej, Kuźnica Skakawska 2b, 98-400 Wieruszów"</f>
        <v>Budynek szkolny w Kuźnicy Skakawskiej, Kuźnica Skakawska 2b, 98-400 Wieruszów</v>
      </c>
      <c r="H338">
        <v>866</v>
      </c>
      <c r="I338">
        <v>866</v>
      </c>
      <c r="J338">
        <v>0</v>
      </c>
      <c r="K338">
        <v>610</v>
      </c>
      <c r="L338">
        <v>432</v>
      </c>
      <c r="M338">
        <v>178</v>
      </c>
      <c r="N338">
        <v>178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178</v>
      </c>
      <c r="Z338">
        <v>0</v>
      </c>
      <c r="AA338">
        <v>0</v>
      </c>
      <c r="AB338">
        <v>178</v>
      </c>
      <c r="AC338">
        <v>5</v>
      </c>
      <c r="AD338">
        <v>173</v>
      </c>
      <c r="AE338">
        <v>4</v>
      </c>
      <c r="AF338">
        <v>2</v>
      </c>
      <c r="AG338">
        <v>0</v>
      </c>
      <c r="AH338">
        <v>0</v>
      </c>
      <c r="AI338">
        <v>1</v>
      </c>
      <c r="AJ338">
        <v>0</v>
      </c>
      <c r="AK338">
        <v>0</v>
      </c>
      <c r="AL338">
        <v>0</v>
      </c>
      <c r="AM338">
        <v>0</v>
      </c>
      <c r="AN338">
        <v>1</v>
      </c>
      <c r="AO338">
        <v>0</v>
      </c>
      <c r="AP338">
        <v>4</v>
      </c>
      <c r="AQ338">
        <v>5</v>
      </c>
      <c r="AR338">
        <v>2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1</v>
      </c>
      <c r="BA338">
        <v>2</v>
      </c>
      <c r="BB338">
        <v>5</v>
      </c>
      <c r="BC338">
        <v>20</v>
      </c>
      <c r="BD338">
        <v>6</v>
      </c>
      <c r="BE338">
        <v>2</v>
      </c>
      <c r="BF338">
        <v>2</v>
      </c>
      <c r="BG338">
        <v>0</v>
      </c>
      <c r="BH338">
        <v>5</v>
      </c>
      <c r="BI338">
        <v>4</v>
      </c>
      <c r="BJ338">
        <v>1</v>
      </c>
      <c r="BK338">
        <v>0</v>
      </c>
      <c r="BL338">
        <v>0</v>
      </c>
      <c r="BM338">
        <v>0</v>
      </c>
      <c r="BN338">
        <v>20</v>
      </c>
      <c r="BO338">
        <v>52</v>
      </c>
      <c r="BP338">
        <v>49</v>
      </c>
      <c r="BQ338">
        <v>2</v>
      </c>
      <c r="BR338">
        <v>0</v>
      </c>
      <c r="BS338">
        <v>0</v>
      </c>
      <c r="BT338">
        <v>0</v>
      </c>
      <c r="BU338">
        <v>1</v>
      </c>
      <c r="BV338">
        <v>0</v>
      </c>
      <c r="BW338">
        <v>0</v>
      </c>
      <c r="BX338">
        <v>0</v>
      </c>
      <c r="BY338">
        <v>0</v>
      </c>
      <c r="BZ338">
        <v>52</v>
      </c>
      <c r="CA338">
        <v>5</v>
      </c>
      <c r="CB338">
        <v>1</v>
      </c>
      <c r="CC338">
        <v>0</v>
      </c>
      <c r="CD338">
        <v>2</v>
      </c>
      <c r="CE338">
        <v>0</v>
      </c>
      <c r="CF338">
        <v>0</v>
      </c>
      <c r="CG338">
        <v>1</v>
      </c>
      <c r="CH338">
        <v>0</v>
      </c>
      <c r="CI338">
        <v>0</v>
      </c>
      <c r="CJ338">
        <v>1</v>
      </c>
      <c r="CK338">
        <v>0</v>
      </c>
      <c r="CL338">
        <v>5</v>
      </c>
      <c r="CM338">
        <v>12</v>
      </c>
      <c r="CN338">
        <v>3</v>
      </c>
      <c r="CO338">
        <v>2</v>
      </c>
      <c r="CP338">
        <v>0</v>
      </c>
      <c r="CQ338">
        <v>0</v>
      </c>
      <c r="CR338">
        <v>0</v>
      </c>
      <c r="CS338">
        <v>7</v>
      </c>
      <c r="CT338">
        <v>0</v>
      </c>
      <c r="CU338">
        <v>0</v>
      </c>
      <c r="CV338">
        <v>0</v>
      </c>
      <c r="CW338">
        <v>0</v>
      </c>
      <c r="CX338">
        <v>12</v>
      </c>
      <c r="CY338">
        <v>6</v>
      </c>
      <c r="CZ338">
        <v>3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2</v>
      </c>
      <c r="DG338">
        <v>1</v>
      </c>
      <c r="DH338">
        <v>0</v>
      </c>
      <c r="DI338">
        <v>0</v>
      </c>
      <c r="DJ338">
        <v>6</v>
      </c>
      <c r="DK338">
        <v>26</v>
      </c>
      <c r="DL338">
        <v>13</v>
      </c>
      <c r="DM338">
        <v>3</v>
      </c>
      <c r="DN338">
        <v>1</v>
      </c>
      <c r="DO338">
        <v>0</v>
      </c>
      <c r="DP338">
        <v>2</v>
      </c>
      <c r="DQ338">
        <v>1</v>
      </c>
      <c r="DR338">
        <v>0</v>
      </c>
      <c r="DS338">
        <v>1</v>
      </c>
      <c r="DT338">
        <v>5</v>
      </c>
      <c r="DU338">
        <v>0</v>
      </c>
      <c r="DV338">
        <v>26</v>
      </c>
      <c r="DW338">
        <v>36</v>
      </c>
      <c r="DX338">
        <v>3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33</v>
      </c>
      <c r="EE338">
        <v>0</v>
      </c>
      <c r="EF338">
        <v>0</v>
      </c>
      <c r="EG338">
        <v>0</v>
      </c>
      <c r="EH338">
        <v>36</v>
      </c>
      <c r="EI338">
        <v>2</v>
      </c>
      <c r="EJ338">
        <v>0</v>
      </c>
      <c r="EK338">
        <v>0</v>
      </c>
      <c r="EL338">
        <v>1</v>
      </c>
      <c r="EM338">
        <v>0</v>
      </c>
      <c r="EN338">
        <v>1</v>
      </c>
      <c r="EO338">
        <v>0</v>
      </c>
      <c r="EP338">
        <v>0</v>
      </c>
      <c r="EQ338">
        <v>0</v>
      </c>
      <c r="ER338">
        <v>2</v>
      </c>
      <c r="ES338">
        <v>2</v>
      </c>
      <c r="ET338">
        <v>1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1</v>
      </c>
      <c r="FD338">
        <v>2</v>
      </c>
      <c r="FE338">
        <v>3</v>
      </c>
      <c r="FF338">
        <v>1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2</v>
      </c>
      <c r="FP338">
        <v>3</v>
      </c>
    </row>
    <row r="339" spans="1:172" ht="14.25">
      <c r="A339">
        <v>334</v>
      </c>
      <c r="B339" t="str">
        <f t="shared" si="65"/>
        <v>101807</v>
      </c>
      <c r="C339" t="str">
        <f t="shared" si="66"/>
        <v>Wieruszów</v>
      </c>
      <c r="D339" t="str">
        <f t="shared" si="61"/>
        <v>wieruszowski</v>
      </c>
      <c r="E339" t="str">
        <f t="shared" si="64"/>
        <v>łódzkie</v>
      </c>
      <c r="F339">
        <v>9</v>
      </c>
      <c r="G339" t="str">
        <f>"Szkoła Podstawowa w Pieczyskach, Szkolna 1, Pieczyska, 98-400 Wieruszów"</f>
        <v>Szkoła Podstawowa w Pieczyskach, Szkolna 1, Pieczyska, 98-400 Wieruszów</v>
      </c>
      <c r="H339">
        <v>902</v>
      </c>
      <c r="I339">
        <v>902</v>
      </c>
      <c r="J339">
        <v>0</v>
      </c>
      <c r="K339">
        <v>628</v>
      </c>
      <c r="L339">
        <v>417</v>
      </c>
      <c r="M339">
        <v>211</v>
      </c>
      <c r="N339">
        <v>211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211</v>
      </c>
      <c r="Z339">
        <v>0</v>
      </c>
      <c r="AA339">
        <v>0</v>
      </c>
      <c r="AB339">
        <v>211</v>
      </c>
      <c r="AC339">
        <v>6</v>
      </c>
      <c r="AD339">
        <v>205</v>
      </c>
      <c r="AE339">
        <v>9</v>
      </c>
      <c r="AF339">
        <v>5</v>
      </c>
      <c r="AG339">
        <v>1</v>
      </c>
      <c r="AH339">
        <v>0</v>
      </c>
      <c r="AI339">
        <v>0</v>
      </c>
      <c r="AJ339">
        <v>0</v>
      </c>
      <c r="AK339">
        <v>0</v>
      </c>
      <c r="AL339">
        <v>1</v>
      </c>
      <c r="AM339">
        <v>0</v>
      </c>
      <c r="AN339">
        <v>0</v>
      </c>
      <c r="AO339">
        <v>2</v>
      </c>
      <c r="AP339">
        <v>9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11</v>
      </c>
      <c r="BD339">
        <v>6</v>
      </c>
      <c r="BE339">
        <v>3</v>
      </c>
      <c r="BF339">
        <v>0</v>
      </c>
      <c r="BG339">
        <v>0</v>
      </c>
      <c r="BH339">
        <v>0</v>
      </c>
      <c r="BI339">
        <v>2</v>
      </c>
      <c r="BJ339">
        <v>0</v>
      </c>
      <c r="BK339">
        <v>0</v>
      </c>
      <c r="BL339">
        <v>0</v>
      </c>
      <c r="BM339">
        <v>0</v>
      </c>
      <c r="BN339">
        <v>11</v>
      </c>
      <c r="BO339">
        <v>62</v>
      </c>
      <c r="BP339">
        <v>58</v>
      </c>
      <c r="BQ339">
        <v>1</v>
      </c>
      <c r="BR339">
        <v>0</v>
      </c>
      <c r="BS339">
        <v>3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62</v>
      </c>
      <c r="CA339">
        <v>1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1</v>
      </c>
      <c r="CM339">
        <v>4</v>
      </c>
      <c r="CN339">
        <v>3</v>
      </c>
      <c r="CO339">
        <v>1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4</v>
      </c>
      <c r="CY339">
        <v>18</v>
      </c>
      <c r="CZ339">
        <v>6</v>
      </c>
      <c r="DA339">
        <v>0</v>
      </c>
      <c r="DB339">
        <v>1</v>
      </c>
      <c r="DC339">
        <v>1</v>
      </c>
      <c r="DD339">
        <v>2</v>
      </c>
      <c r="DE339">
        <v>3</v>
      </c>
      <c r="DF339">
        <v>1</v>
      </c>
      <c r="DG339">
        <v>3</v>
      </c>
      <c r="DH339">
        <v>1</v>
      </c>
      <c r="DI339">
        <v>0</v>
      </c>
      <c r="DJ339">
        <v>18</v>
      </c>
      <c r="DK339">
        <v>37</v>
      </c>
      <c r="DL339">
        <v>21</v>
      </c>
      <c r="DM339">
        <v>7</v>
      </c>
      <c r="DN339">
        <v>1</v>
      </c>
      <c r="DO339">
        <v>0</v>
      </c>
      <c r="DP339">
        <v>3</v>
      </c>
      <c r="DQ339">
        <v>0</v>
      </c>
      <c r="DR339">
        <v>0</v>
      </c>
      <c r="DS339">
        <v>2</v>
      </c>
      <c r="DT339">
        <v>1</v>
      </c>
      <c r="DU339">
        <v>2</v>
      </c>
      <c r="DV339">
        <v>37</v>
      </c>
      <c r="DW339">
        <v>60</v>
      </c>
      <c r="DX339">
        <v>8</v>
      </c>
      <c r="DY339">
        <v>0</v>
      </c>
      <c r="DZ339">
        <v>0</v>
      </c>
      <c r="EA339">
        <v>0</v>
      </c>
      <c r="EB339">
        <v>1</v>
      </c>
      <c r="EC339">
        <v>0</v>
      </c>
      <c r="ED339">
        <v>51</v>
      </c>
      <c r="EE339">
        <v>0</v>
      </c>
      <c r="EF339">
        <v>0</v>
      </c>
      <c r="EG339">
        <v>0</v>
      </c>
      <c r="EH339">
        <v>60</v>
      </c>
      <c r="EI339">
        <v>1</v>
      </c>
      <c r="EJ339">
        <v>0</v>
      </c>
      <c r="EK339">
        <v>1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1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2</v>
      </c>
      <c r="FF339">
        <v>1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1</v>
      </c>
      <c r="FM339">
        <v>0</v>
      </c>
      <c r="FN339">
        <v>0</v>
      </c>
      <c r="FO339">
        <v>0</v>
      </c>
      <c r="FP339">
        <v>2</v>
      </c>
    </row>
    <row r="340" spans="1:172" ht="14.25">
      <c r="A340">
        <v>335</v>
      </c>
      <c r="B340" t="str">
        <f t="shared" si="65"/>
        <v>101807</v>
      </c>
      <c r="C340" t="str">
        <f t="shared" si="66"/>
        <v>Wieruszów</v>
      </c>
      <c r="D340" t="str">
        <f t="shared" si="61"/>
        <v>wieruszowski</v>
      </c>
      <c r="E340" t="str">
        <f t="shared" si="64"/>
        <v>łódzkie</v>
      </c>
      <c r="F340">
        <v>10</v>
      </c>
      <c r="G340" t="str">
        <f>"Budynek szkolny w Mirkowie, Mirków 51, 98-400 Wieruszów"</f>
        <v>Budynek szkolny w Mirkowie, Mirków 51, 98-400 Wieruszów</v>
      </c>
      <c r="H340">
        <v>470</v>
      </c>
      <c r="I340">
        <v>470</v>
      </c>
      <c r="J340">
        <v>0</v>
      </c>
      <c r="K340">
        <v>330</v>
      </c>
      <c r="L340">
        <v>190</v>
      </c>
      <c r="M340">
        <v>140</v>
      </c>
      <c r="N340">
        <v>140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140</v>
      </c>
      <c r="Z340">
        <v>0</v>
      </c>
      <c r="AA340">
        <v>0</v>
      </c>
      <c r="AB340">
        <v>140</v>
      </c>
      <c r="AC340">
        <v>2</v>
      </c>
      <c r="AD340">
        <v>138</v>
      </c>
      <c r="AE340">
        <v>2</v>
      </c>
      <c r="AF340">
        <v>0</v>
      </c>
      <c r="AG340">
        <v>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1</v>
      </c>
      <c r="AN340">
        <v>0</v>
      </c>
      <c r="AO340">
        <v>0</v>
      </c>
      <c r="AP340">
        <v>2</v>
      </c>
      <c r="AQ340">
        <v>2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1</v>
      </c>
      <c r="AY340">
        <v>0</v>
      </c>
      <c r="AZ340">
        <v>0</v>
      </c>
      <c r="BA340">
        <v>1</v>
      </c>
      <c r="BB340">
        <v>2</v>
      </c>
      <c r="BC340">
        <v>4</v>
      </c>
      <c r="BD340">
        <v>2</v>
      </c>
      <c r="BE340">
        <v>0</v>
      </c>
      <c r="BF340">
        <v>0</v>
      </c>
      <c r="BG340">
        <v>1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1</v>
      </c>
      <c r="BN340">
        <v>4</v>
      </c>
      <c r="BO340">
        <v>61</v>
      </c>
      <c r="BP340">
        <v>45</v>
      </c>
      <c r="BQ340">
        <v>7</v>
      </c>
      <c r="BR340">
        <v>2</v>
      </c>
      <c r="BS340">
        <v>5</v>
      </c>
      <c r="BT340">
        <v>0</v>
      </c>
      <c r="BU340">
        <v>1</v>
      </c>
      <c r="BV340">
        <v>0</v>
      </c>
      <c r="BW340">
        <v>0</v>
      </c>
      <c r="BX340">
        <v>0</v>
      </c>
      <c r="BY340">
        <v>1</v>
      </c>
      <c r="BZ340">
        <v>61</v>
      </c>
      <c r="CA340">
        <v>3</v>
      </c>
      <c r="CB340">
        <v>0</v>
      </c>
      <c r="CC340">
        <v>0</v>
      </c>
      <c r="CD340">
        <v>1</v>
      </c>
      <c r="CE340">
        <v>0</v>
      </c>
      <c r="CF340">
        <v>0</v>
      </c>
      <c r="CG340">
        <v>1</v>
      </c>
      <c r="CH340">
        <v>0</v>
      </c>
      <c r="CI340">
        <v>0</v>
      </c>
      <c r="CJ340">
        <v>1</v>
      </c>
      <c r="CK340">
        <v>0</v>
      </c>
      <c r="CL340">
        <v>3</v>
      </c>
      <c r="CM340">
        <v>4</v>
      </c>
      <c r="CN340">
        <v>3</v>
      </c>
      <c r="CO340">
        <v>0</v>
      </c>
      <c r="CP340">
        <v>0</v>
      </c>
      <c r="CQ340">
        <v>1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4</v>
      </c>
      <c r="CY340">
        <v>10</v>
      </c>
      <c r="CZ340">
        <v>4</v>
      </c>
      <c r="DA340">
        <v>3</v>
      </c>
      <c r="DB340">
        <v>1</v>
      </c>
      <c r="DC340">
        <v>1</v>
      </c>
      <c r="DD340">
        <v>0</v>
      </c>
      <c r="DE340">
        <v>0</v>
      </c>
      <c r="DF340">
        <v>0</v>
      </c>
      <c r="DG340">
        <v>0</v>
      </c>
      <c r="DH340">
        <v>1</v>
      </c>
      <c r="DI340">
        <v>0</v>
      </c>
      <c r="DJ340">
        <v>10</v>
      </c>
      <c r="DK340">
        <v>13</v>
      </c>
      <c r="DL340">
        <v>10</v>
      </c>
      <c r="DM340">
        <v>0</v>
      </c>
      <c r="DN340">
        <v>1</v>
      </c>
      <c r="DO340">
        <v>1</v>
      </c>
      <c r="DP340">
        <v>1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13</v>
      </c>
      <c r="DW340">
        <v>39</v>
      </c>
      <c r="DX340">
        <v>2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37</v>
      </c>
      <c r="EE340">
        <v>0</v>
      </c>
      <c r="EF340">
        <v>0</v>
      </c>
      <c r="EG340">
        <v>0</v>
      </c>
      <c r="EH340">
        <v>39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</row>
    <row r="341" spans="1:172" ht="14.25">
      <c r="A341">
        <v>336</v>
      </c>
      <c r="B341" t="str">
        <f t="shared" si="65"/>
        <v>101807</v>
      </c>
      <c r="C341" t="str">
        <f t="shared" si="66"/>
        <v>Wieruszów</v>
      </c>
      <c r="D341" t="str">
        <f t="shared" si="61"/>
        <v>wieruszowski</v>
      </c>
      <c r="E341" t="str">
        <f t="shared" si="64"/>
        <v>łódzkie</v>
      </c>
      <c r="F341">
        <v>11</v>
      </c>
      <c r="G341" t="str">
        <f>"Budynek szkolny w Cieszęcinie, Cieszęcin 40, 98-400 Wieruszów"</f>
        <v>Budynek szkolny w Cieszęcinie, Cieszęcin 40, 98-400 Wieruszów</v>
      </c>
      <c r="H341">
        <v>542</v>
      </c>
      <c r="I341">
        <v>542</v>
      </c>
      <c r="J341">
        <v>0</v>
      </c>
      <c r="K341">
        <v>380</v>
      </c>
      <c r="L341">
        <v>245</v>
      </c>
      <c r="M341">
        <v>135</v>
      </c>
      <c r="N341">
        <v>135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135</v>
      </c>
      <c r="Z341">
        <v>0</v>
      </c>
      <c r="AA341">
        <v>0</v>
      </c>
      <c r="AB341">
        <v>135</v>
      </c>
      <c r="AC341">
        <v>9</v>
      </c>
      <c r="AD341">
        <v>126</v>
      </c>
      <c r="AE341">
        <v>2</v>
      </c>
      <c r="AF341">
        <v>0</v>
      </c>
      <c r="AG341">
        <v>0</v>
      </c>
      <c r="AH341">
        <v>0</v>
      </c>
      <c r="AI341">
        <v>2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2</v>
      </c>
      <c r="AQ341">
        <v>1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1</v>
      </c>
      <c r="BB341">
        <v>1</v>
      </c>
      <c r="BC341">
        <v>7</v>
      </c>
      <c r="BD341">
        <v>5</v>
      </c>
      <c r="BE341">
        <v>1</v>
      </c>
      <c r="BF341">
        <v>0</v>
      </c>
      <c r="BG341">
        <v>0</v>
      </c>
      <c r="BH341">
        <v>0</v>
      </c>
      <c r="BI341">
        <v>0</v>
      </c>
      <c r="BJ341">
        <v>1</v>
      </c>
      <c r="BK341">
        <v>0</v>
      </c>
      <c r="BL341">
        <v>0</v>
      </c>
      <c r="BM341">
        <v>0</v>
      </c>
      <c r="BN341">
        <v>7</v>
      </c>
      <c r="BO341">
        <v>41</v>
      </c>
      <c r="BP341">
        <v>38</v>
      </c>
      <c r="BQ341">
        <v>0</v>
      </c>
      <c r="BR341">
        <v>0</v>
      </c>
      <c r="BS341">
        <v>3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41</v>
      </c>
      <c r="CA341">
        <v>1</v>
      </c>
      <c r="CB341">
        <v>0</v>
      </c>
      <c r="CC341">
        <v>0</v>
      </c>
      <c r="CD341">
        <v>1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1</v>
      </c>
      <c r="CM341">
        <v>4</v>
      </c>
      <c r="CN341">
        <v>1</v>
      </c>
      <c r="CO341">
        <v>2</v>
      </c>
      <c r="CP341">
        <v>0</v>
      </c>
      <c r="CQ341">
        <v>0</v>
      </c>
      <c r="CR341">
        <v>0</v>
      </c>
      <c r="CS341">
        <v>1</v>
      </c>
      <c r="CT341">
        <v>0</v>
      </c>
      <c r="CU341">
        <v>0</v>
      </c>
      <c r="CV341">
        <v>0</v>
      </c>
      <c r="CW341">
        <v>0</v>
      </c>
      <c r="CX341">
        <v>4</v>
      </c>
      <c r="CY341">
        <v>2</v>
      </c>
      <c r="CZ341">
        <v>2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2</v>
      </c>
      <c r="DK341">
        <v>33</v>
      </c>
      <c r="DL341">
        <v>28</v>
      </c>
      <c r="DM341">
        <v>1</v>
      </c>
      <c r="DN341">
        <v>1</v>
      </c>
      <c r="DO341">
        <v>0</v>
      </c>
      <c r="DP341">
        <v>0</v>
      </c>
      <c r="DQ341">
        <v>0</v>
      </c>
      <c r="DR341">
        <v>1</v>
      </c>
      <c r="DS341">
        <v>1</v>
      </c>
      <c r="DT341">
        <v>1</v>
      </c>
      <c r="DU341">
        <v>0</v>
      </c>
      <c r="DV341">
        <v>33</v>
      </c>
      <c r="DW341">
        <v>35</v>
      </c>
      <c r="DX341">
        <v>2</v>
      </c>
      <c r="DY341">
        <v>1</v>
      </c>
      <c r="DZ341">
        <v>0</v>
      </c>
      <c r="EA341">
        <v>0</v>
      </c>
      <c r="EB341">
        <v>1</v>
      </c>
      <c r="EC341">
        <v>0</v>
      </c>
      <c r="ED341">
        <v>31</v>
      </c>
      <c r="EE341">
        <v>0</v>
      </c>
      <c r="EF341">
        <v>0</v>
      </c>
      <c r="EG341">
        <v>0</v>
      </c>
      <c r="EH341">
        <v>35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</row>
    <row r="342" spans="1:172" ht="14.25">
      <c r="A342">
        <v>337</v>
      </c>
      <c r="B342" t="str">
        <f t="shared" si="65"/>
        <v>101807</v>
      </c>
      <c r="C342" t="str">
        <f t="shared" si="66"/>
        <v>Wieruszów</v>
      </c>
      <c r="D342" t="str">
        <f t="shared" si="61"/>
        <v>wieruszowski</v>
      </c>
      <c r="E342" t="str">
        <f t="shared" si="64"/>
        <v>łódzkie</v>
      </c>
      <c r="F342">
        <v>12</v>
      </c>
      <c r="G342" t="str">
        <f>"Szkoła Podstawowa w Wyszanowie, Szkolna 3, Wyszanów, 98-400 Wieruszów"</f>
        <v>Szkoła Podstawowa w Wyszanowie, Szkolna 3, Wyszanów, 98-400 Wieruszów</v>
      </c>
      <c r="H342">
        <v>884</v>
      </c>
      <c r="I342">
        <v>884</v>
      </c>
      <c r="J342">
        <v>0</v>
      </c>
      <c r="K342">
        <v>629</v>
      </c>
      <c r="L342">
        <v>422</v>
      </c>
      <c r="M342">
        <v>207</v>
      </c>
      <c r="N342">
        <v>207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207</v>
      </c>
      <c r="Z342">
        <v>0</v>
      </c>
      <c r="AA342">
        <v>0</v>
      </c>
      <c r="AB342">
        <v>207</v>
      </c>
      <c r="AC342">
        <v>13</v>
      </c>
      <c r="AD342">
        <v>194</v>
      </c>
      <c r="AE342">
        <v>7</v>
      </c>
      <c r="AF342">
        <v>4</v>
      </c>
      <c r="AG342">
        <v>1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1</v>
      </c>
      <c r="AO342">
        <v>1</v>
      </c>
      <c r="AP342">
        <v>7</v>
      </c>
      <c r="AQ342">
        <v>1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1</v>
      </c>
      <c r="BA342">
        <v>0</v>
      </c>
      <c r="BB342">
        <v>1</v>
      </c>
      <c r="BC342">
        <v>14</v>
      </c>
      <c r="BD342">
        <v>9</v>
      </c>
      <c r="BE342">
        <v>2</v>
      </c>
      <c r="BF342">
        <v>0</v>
      </c>
      <c r="BG342">
        <v>0</v>
      </c>
      <c r="BH342">
        <v>1</v>
      </c>
      <c r="BI342">
        <v>1</v>
      </c>
      <c r="BJ342">
        <v>0</v>
      </c>
      <c r="BK342">
        <v>0</v>
      </c>
      <c r="BL342">
        <v>0</v>
      </c>
      <c r="BM342">
        <v>1</v>
      </c>
      <c r="BN342">
        <v>14</v>
      </c>
      <c r="BO342">
        <v>67</v>
      </c>
      <c r="BP342">
        <v>50</v>
      </c>
      <c r="BQ342">
        <v>5</v>
      </c>
      <c r="BR342">
        <v>1</v>
      </c>
      <c r="BS342">
        <v>11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67</v>
      </c>
      <c r="CA342">
        <v>3</v>
      </c>
      <c r="CB342">
        <v>2</v>
      </c>
      <c r="CC342">
        <v>0</v>
      </c>
      <c r="CD342">
        <v>1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3</v>
      </c>
      <c r="CM342">
        <v>2</v>
      </c>
      <c r="CN342">
        <v>1</v>
      </c>
      <c r="CO342">
        <v>0</v>
      </c>
      <c r="CP342">
        <v>0</v>
      </c>
      <c r="CQ342">
        <v>1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2</v>
      </c>
      <c r="CY342">
        <v>19</v>
      </c>
      <c r="CZ342">
        <v>13</v>
      </c>
      <c r="DA342">
        <v>2</v>
      </c>
      <c r="DB342">
        <v>0</v>
      </c>
      <c r="DC342">
        <v>0</v>
      </c>
      <c r="DD342">
        <v>1</v>
      </c>
      <c r="DE342">
        <v>0</v>
      </c>
      <c r="DF342">
        <v>2</v>
      </c>
      <c r="DG342">
        <v>1</v>
      </c>
      <c r="DH342">
        <v>0</v>
      </c>
      <c r="DI342">
        <v>0</v>
      </c>
      <c r="DJ342">
        <v>19</v>
      </c>
      <c r="DK342">
        <v>28</v>
      </c>
      <c r="DL342">
        <v>21</v>
      </c>
      <c r="DM342">
        <v>1</v>
      </c>
      <c r="DN342">
        <v>1</v>
      </c>
      <c r="DO342">
        <v>0</v>
      </c>
      <c r="DP342">
        <v>1</v>
      </c>
      <c r="DQ342">
        <v>1</v>
      </c>
      <c r="DR342">
        <v>0</v>
      </c>
      <c r="DS342">
        <v>0</v>
      </c>
      <c r="DT342">
        <v>0</v>
      </c>
      <c r="DU342">
        <v>3</v>
      </c>
      <c r="DV342">
        <v>28</v>
      </c>
      <c r="DW342">
        <v>48</v>
      </c>
      <c r="DX342">
        <v>4</v>
      </c>
      <c r="DY342">
        <v>2</v>
      </c>
      <c r="DZ342">
        <v>0</v>
      </c>
      <c r="EA342">
        <v>1</v>
      </c>
      <c r="EB342">
        <v>0</v>
      </c>
      <c r="EC342">
        <v>0</v>
      </c>
      <c r="ED342">
        <v>41</v>
      </c>
      <c r="EE342">
        <v>0</v>
      </c>
      <c r="EF342">
        <v>0</v>
      </c>
      <c r="EG342">
        <v>0</v>
      </c>
      <c r="EH342">
        <v>48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1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1</v>
      </c>
      <c r="FC342">
        <v>0</v>
      </c>
      <c r="FD342">
        <v>1</v>
      </c>
      <c r="FE342">
        <v>4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4</v>
      </c>
      <c r="FP342">
        <v>4</v>
      </c>
    </row>
    <row r="343" spans="1:172" ht="14.25">
      <c r="A343">
        <v>338</v>
      </c>
      <c r="B343" t="str">
        <f t="shared" si="65"/>
        <v>101807</v>
      </c>
      <c r="C343" t="str">
        <f t="shared" si="66"/>
        <v>Wieruszów</v>
      </c>
      <c r="D343" t="str">
        <f t="shared" si="61"/>
        <v>wieruszowski</v>
      </c>
      <c r="E343" t="str">
        <f t="shared" si="64"/>
        <v>łódzkie</v>
      </c>
      <c r="F343">
        <v>13</v>
      </c>
      <c r="G343" t="str">
        <f>"NZOZ Szpital Powiatowy, ul. Warszawska 104, 98-400 Wieruszów"</f>
        <v>NZOZ Szpital Powiatowy, ul. Warszawska 104, 98-400 Wieruszów</v>
      </c>
      <c r="H343">
        <v>44</v>
      </c>
      <c r="I343">
        <v>44</v>
      </c>
      <c r="J343">
        <v>0</v>
      </c>
      <c r="K343">
        <v>60</v>
      </c>
      <c r="L343">
        <v>53</v>
      </c>
      <c r="M343">
        <v>7</v>
      </c>
      <c r="N343">
        <v>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7</v>
      </c>
      <c r="Z343">
        <v>0</v>
      </c>
      <c r="AA343">
        <v>0</v>
      </c>
      <c r="AB343">
        <v>7</v>
      </c>
      <c r="AC343">
        <v>0</v>
      </c>
      <c r="AD343">
        <v>7</v>
      </c>
      <c r="AE343">
        <v>1</v>
      </c>
      <c r="AF343">
        <v>1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1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1</v>
      </c>
      <c r="BD343">
        <v>0</v>
      </c>
      <c r="BE343">
        <v>0</v>
      </c>
      <c r="BF343">
        <v>1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1</v>
      </c>
      <c r="BO343">
        <v>2</v>
      </c>
      <c r="BP343">
        <v>1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1</v>
      </c>
      <c r="BW343">
        <v>0</v>
      </c>
      <c r="BX343">
        <v>0</v>
      </c>
      <c r="BY343">
        <v>0</v>
      </c>
      <c r="BZ343">
        <v>2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2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1</v>
      </c>
      <c r="EE343">
        <v>0</v>
      </c>
      <c r="EF343">
        <v>0</v>
      </c>
      <c r="EG343">
        <v>1</v>
      </c>
      <c r="EH343">
        <v>2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1</v>
      </c>
      <c r="ET343">
        <v>0</v>
      </c>
      <c r="EU343">
        <v>0</v>
      </c>
      <c r="EV343">
        <v>0</v>
      </c>
      <c r="EW343">
        <v>1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1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</row>
    <row r="344" spans="1:172" ht="14.25">
      <c r="A344">
        <v>339</v>
      </c>
      <c r="B344" t="str">
        <f aca="true" t="shared" si="67" ref="B344:B366">"101901"</f>
        <v>101901</v>
      </c>
      <c r="C344" t="str">
        <f aca="true" t="shared" si="68" ref="C344:C366">"m. Zduńska Wola"</f>
        <v>m. Zduńska Wola</v>
      </c>
      <c r="D344" t="str">
        <f aca="true" t="shared" si="69" ref="D344:D385">"zduńskowolski"</f>
        <v>zduńskowolski</v>
      </c>
      <c r="E344" t="str">
        <f t="shared" si="64"/>
        <v>łódzkie</v>
      </c>
      <c r="F344">
        <v>1</v>
      </c>
      <c r="G344" t="str">
        <f>"Publiczne Gimnazjum Nr 1, Parkowa 5, 98-220 Zduńska Wola"</f>
        <v>Publiczne Gimnazjum Nr 1, Parkowa 5, 98-220 Zduńska Wola</v>
      </c>
      <c r="H344">
        <v>1464</v>
      </c>
      <c r="I344">
        <v>1464</v>
      </c>
      <c r="J344">
        <v>0</v>
      </c>
      <c r="K344">
        <v>1040</v>
      </c>
      <c r="L344">
        <v>841</v>
      </c>
      <c r="M344">
        <v>199</v>
      </c>
      <c r="N344">
        <v>199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199</v>
      </c>
      <c r="Z344">
        <v>0</v>
      </c>
      <c r="AA344">
        <v>0</v>
      </c>
      <c r="AB344">
        <v>199</v>
      </c>
      <c r="AC344">
        <v>6</v>
      </c>
      <c r="AD344">
        <v>193</v>
      </c>
      <c r="AE344">
        <v>7</v>
      </c>
      <c r="AF344">
        <v>4</v>
      </c>
      <c r="AG344">
        <v>1</v>
      </c>
      <c r="AH344">
        <v>0</v>
      </c>
      <c r="AI344">
        <v>0</v>
      </c>
      <c r="AJ344">
        <v>0</v>
      </c>
      <c r="AK344">
        <v>0</v>
      </c>
      <c r="AL344">
        <v>2</v>
      </c>
      <c r="AM344">
        <v>0</v>
      </c>
      <c r="AN344">
        <v>0</v>
      </c>
      <c r="AO344">
        <v>0</v>
      </c>
      <c r="AP344">
        <v>7</v>
      </c>
      <c r="AQ344">
        <v>6</v>
      </c>
      <c r="AR344">
        <v>5</v>
      </c>
      <c r="AS344">
        <v>1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6</v>
      </c>
      <c r="BC344">
        <v>18</v>
      </c>
      <c r="BD344">
        <v>10</v>
      </c>
      <c r="BE344">
        <v>1</v>
      </c>
      <c r="BF344">
        <v>1</v>
      </c>
      <c r="BG344">
        <v>6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18</v>
      </c>
      <c r="BO344">
        <v>76</v>
      </c>
      <c r="BP344">
        <v>58</v>
      </c>
      <c r="BQ344">
        <v>2</v>
      </c>
      <c r="BR344">
        <v>4</v>
      </c>
      <c r="BS344">
        <v>7</v>
      </c>
      <c r="BT344">
        <v>0</v>
      </c>
      <c r="BU344">
        <v>1</v>
      </c>
      <c r="BV344">
        <v>3</v>
      </c>
      <c r="BW344">
        <v>0</v>
      </c>
      <c r="BX344">
        <v>0</v>
      </c>
      <c r="BY344">
        <v>1</v>
      </c>
      <c r="BZ344">
        <v>76</v>
      </c>
      <c r="CA344">
        <v>2</v>
      </c>
      <c r="CB344">
        <v>0</v>
      </c>
      <c r="CC344">
        <v>0</v>
      </c>
      <c r="CD344">
        <v>1</v>
      </c>
      <c r="CE344">
        <v>0</v>
      </c>
      <c r="CF344">
        <v>0</v>
      </c>
      <c r="CG344">
        <v>0</v>
      </c>
      <c r="CH344">
        <v>0</v>
      </c>
      <c r="CI344">
        <v>1</v>
      </c>
      <c r="CJ344">
        <v>0</v>
      </c>
      <c r="CK344">
        <v>0</v>
      </c>
      <c r="CL344">
        <v>2</v>
      </c>
      <c r="CM344">
        <v>5</v>
      </c>
      <c r="CN344">
        <v>3</v>
      </c>
      <c r="CO344">
        <v>0</v>
      </c>
      <c r="CP344">
        <v>0</v>
      </c>
      <c r="CQ344">
        <v>1</v>
      </c>
      <c r="CR344">
        <v>0</v>
      </c>
      <c r="CS344">
        <v>0</v>
      </c>
      <c r="CT344">
        <v>1</v>
      </c>
      <c r="CU344">
        <v>0</v>
      </c>
      <c r="CV344">
        <v>0</v>
      </c>
      <c r="CW344">
        <v>0</v>
      </c>
      <c r="CX344">
        <v>5</v>
      </c>
      <c r="CY344">
        <v>8</v>
      </c>
      <c r="CZ344">
        <v>8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8</v>
      </c>
      <c r="DK344">
        <v>60</v>
      </c>
      <c r="DL344">
        <v>31</v>
      </c>
      <c r="DM344">
        <v>25</v>
      </c>
      <c r="DN344">
        <v>0</v>
      </c>
      <c r="DO344">
        <v>1</v>
      </c>
      <c r="DP344">
        <v>0</v>
      </c>
      <c r="DQ344">
        <v>1</v>
      </c>
      <c r="DR344">
        <v>0</v>
      </c>
      <c r="DS344">
        <v>2</v>
      </c>
      <c r="DT344">
        <v>0</v>
      </c>
      <c r="DU344">
        <v>0</v>
      </c>
      <c r="DV344">
        <v>60</v>
      </c>
      <c r="DW344">
        <v>7</v>
      </c>
      <c r="DX344">
        <v>4</v>
      </c>
      <c r="DY344">
        <v>1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2</v>
      </c>
      <c r="EG344">
        <v>0</v>
      </c>
      <c r="EH344">
        <v>7</v>
      </c>
      <c r="EI344">
        <v>3</v>
      </c>
      <c r="EJ344">
        <v>0</v>
      </c>
      <c r="EK344">
        <v>2</v>
      </c>
      <c r="EL344">
        <v>0</v>
      </c>
      <c r="EM344">
        <v>0</v>
      </c>
      <c r="EN344">
        <v>1</v>
      </c>
      <c r="EO344">
        <v>0</v>
      </c>
      <c r="EP344">
        <v>0</v>
      </c>
      <c r="EQ344">
        <v>0</v>
      </c>
      <c r="ER344">
        <v>3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1</v>
      </c>
      <c r="FF344">
        <v>0</v>
      </c>
      <c r="FG344">
        <v>0</v>
      </c>
      <c r="FH344">
        <v>0</v>
      </c>
      <c r="FI344">
        <v>1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1</v>
      </c>
    </row>
    <row r="345" spans="1:172" ht="14.25">
      <c r="A345">
        <v>340</v>
      </c>
      <c r="B345" t="str">
        <f t="shared" si="67"/>
        <v>101901</v>
      </c>
      <c r="C345" t="str">
        <f t="shared" si="68"/>
        <v>m. Zduńska Wola</v>
      </c>
      <c r="D345" t="str">
        <f t="shared" si="69"/>
        <v>zduńskowolski</v>
      </c>
      <c r="E345" t="str">
        <f t="shared" si="64"/>
        <v>łódzkie</v>
      </c>
      <c r="F345">
        <v>2</v>
      </c>
      <c r="G345" t="str">
        <f>"Zespół Szkół Zawodowych nr 1, Żeromskiego 10, 98-220 Zduńska Wola"</f>
        <v>Zespół Szkół Zawodowych nr 1, Żeromskiego 10, 98-220 Zduńska Wola</v>
      </c>
      <c r="H345">
        <v>1634</v>
      </c>
      <c r="I345">
        <v>1634</v>
      </c>
      <c r="J345">
        <v>0</v>
      </c>
      <c r="K345">
        <v>1160</v>
      </c>
      <c r="L345">
        <v>833</v>
      </c>
      <c r="M345">
        <v>327</v>
      </c>
      <c r="N345">
        <v>327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327</v>
      </c>
      <c r="Z345">
        <v>0</v>
      </c>
      <c r="AA345">
        <v>0</v>
      </c>
      <c r="AB345">
        <v>327</v>
      </c>
      <c r="AC345">
        <v>15</v>
      </c>
      <c r="AD345">
        <v>312</v>
      </c>
      <c r="AE345">
        <v>11</v>
      </c>
      <c r="AF345">
        <v>4</v>
      </c>
      <c r="AG345">
        <v>2</v>
      </c>
      <c r="AH345">
        <v>0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3</v>
      </c>
      <c r="AO345">
        <v>0</v>
      </c>
      <c r="AP345">
        <v>11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44</v>
      </c>
      <c r="BD345">
        <v>22</v>
      </c>
      <c r="BE345">
        <v>2</v>
      </c>
      <c r="BF345">
        <v>6</v>
      </c>
      <c r="BG345">
        <v>11</v>
      </c>
      <c r="BH345">
        <v>0</v>
      </c>
      <c r="BI345">
        <v>0</v>
      </c>
      <c r="BJ345">
        <v>0</v>
      </c>
      <c r="BK345">
        <v>0</v>
      </c>
      <c r="BL345">
        <v>1</v>
      </c>
      <c r="BM345">
        <v>2</v>
      </c>
      <c r="BN345">
        <v>44</v>
      </c>
      <c r="BO345">
        <v>118</v>
      </c>
      <c r="BP345">
        <v>96</v>
      </c>
      <c r="BQ345">
        <v>2</v>
      </c>
      <c r="BR345">
        <v>6</v>
      </c>
      <c r="BS345">
        <v>10</v>
      </c>
      <c r="BT345">
        <v>0</v>
      </c>
      <c r="BU345">
        <v>0</v>
      </c>
      <c r="BV345">
        <v>1</v>
      </c>
      <c r="BW345">
        <v>0</v>
      </c>
      <c r="BX345">
        <v>2</v>
      </c>
      <c r="BY345">
        <v>1</v>
      </c>
      <c r="BZ345">
        <v>118</v>
      </c>
      <c r="CA345">
        <v>5</v>
      </c>
      <c r="CB345">
        <v>1</v>
      </c>
      <c r="CC345">
        <v>1</v>
      </c>
      <c r="CD345">
        <v>1</v>
      </c>
      <c r="CE345">
        <v>0</v>
      </c>
      <c r="CF345">
        <v>0</v>
      </c>
      <c r="CG345">
        <v>0</v>
      </c>
      <c r="CH345">
        <v>0</v>
      </c>
      <c r="CI345">
        <v>1</v>
      </c>
      <c r="CJ345">
        <v>1</v>
      </c>
      <c r="CK345">
        <v>0</v>
      </c>
      <c r="CL345">
        <v>5</v>
      </c>
      <c r="CM345">
        <v>4</v>
      </c>
      <c r="CN345">
        <v>3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1</v>
      </c>
      <c r="CV345">
        <v>0</v>
      </c>
      <c r="CW345">
        <v>0</v>
      </c>
      <c r="CX345">
        <v>4</v>
      </c>
      <c r="CY345">
        <v>12</v>
      </c>
      <c r="CZ345">
        <v>7</v>
      </c>
      <c r="DA345">
        <v>2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1</v>
      </c>
      <c r="DH345">
        <v>0</v>
      </c>
      <c r="DI345">
        <v>2</v>
      </c>
      <c r="DJ345">
        <v>12</v>
      </c>
      <c r="DK345">
        <v>109</v>
      </c>
      <c r="DL345">
        <v>76</v>
      </c>
      <c r="DM345">
        <v>16</v>
      </c>
      <c r="DN345">
        <v>0</v>
      </c>
      <c r="DO345">
        <v>11</v>
      </c>
      <c r="DP345">
        <v>1</v>
      </c>
      <c r="DQ345">
        <v>1</v>
      </c>
      <c r="DR345">
        <v>0</v>
      </c>
      <c r="DS345">
        <v>0</v>
      </c>
      <c r="DT345">
        <v>0</v>
      </c>
      <c r="DU345">
        <v>4</v>
      </c>
      <c r="DV345">
        <v>109</v>
      </c>
      <c r="DW345">
        <v>6</v>
      </c>
      <c r="DX345">
        <v>4</v>
      </c>
      <c r="DY345">
        <v>1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0</v>
      </c>
      <c r="EH345">
        <v>6</v>
      </c>
      <c r="EI345">
        <v>2</v>
      </c>
      <c r="EJ345">
        <v>0</v>
      </c>
      <c r="EK345">
        <v>1</v>
      </c>
      <c r="EL345">
        <v>0</v>
      </c>
      <c r="EM345">
        <v>0</v>
      </c>
      <c r="EN345">
        <v>0</v>
      </c>
      <c r="EO345">
        <v>0</v>
      </c>
      <c r="EP345">
        <v>1</v>
      </c>
      <c r="EQ345">
        <v>0</v>
      </c>
      <c r="ER345">
        <v>2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1</v>
      </c>
      <c r="FF345">
        <v>0</v>
      </c>
      <c r="FG345">
        <v>0</v>
      </c>
      <c r="FH345">
        <v>0</v>
      </c>
      <c r="FI345">
        <v>0</v>
      </c>
      <c r="FJ345">
        <v>1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1</v>
      </c>
    </row>
    <row r="346" spans="1:172" ht="14.25">
      <c r="A346">
        <v>341</v>
      </c>
      <c r="B346" t="str">
        <f t="shared" si="67"/>
        <v>101901</v>
      </c>
      <c r="C346" t="str">
        <f t="shared" si="68"/>
        <v>m. Zduńska Wola</v>
      </c>
      <c r="D346" t="str">
        <f t="shared" si="69"/>
        <v>zduńskowolski</v>
      </c>
      <c r="E346" t="str">
        <f t="shared" si="64"/>
        <v>łódzkie</v>
      </c>
      <c r="F346">
        <v>3</v>
      </c>
      <c r="G346" t="str">
        <f>"Szkoła Podstawowa Nr 10, Zielona 46a, 98-220 Zduńska Wola"</f>
        <v>Szkoła Podstawowa Nr 10, Zielona 46a, 98-220 Zduńska Wola</v>
      </c>
      <c r="H346">
        <v>1531</v>
      </c>
      <c r="I346">
        <v>1531</v>
      </c>
      <c r="J346">
        <v>0</v>
      </c>
      <c r="K346">
        <v>1080</v>
      </c>
      <c r="L346">
        <v>707</v>
      </c>
      <c r="M346">
        <v>373</v>
      </c>
      <c r="N346">
        <v>373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372</v>
      </c>
      <c r="Z346">
        <v>0</v>
      </c>
      <c r="AA346">
        <v>0</v>
      </c>
      <c r="AB346">
        <v>372</v>
      </c>
      <c r="AC346">
        <v>8</v>
      </c>
      <c r="AD346">
        <v>364</v>
      </c>
      <c r="AE346">
        <v>8</v>
      </c>
      <c r="AF346">
        <v>2</v>
      </c>
      <c r="AG346">
        <v>4</v>
      </c>
      <c r="AH346">
        <v>0</v>
      </c>
      <c r="AI346">
        <v>0</v>
      </c>
      <c r="AJ346">
        <v>1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8</v>
      </c>
      <c r="AQ346">
        <v>4</v>
      </c>
      <c r="AR346">
        <v>1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2</v>
      </c>
      <c r="BB346">
        <v>4</v>
      </c>
      <c r="BC346">
        <v>42</v>
      </c>
      <c r="BD346">
        <v>14</v>
      </c>
      <c r="BE346">
        <v>3</v>
      </c>
      <c r="BF346">
        <v>2</v>
      </c>
      <c r="BG346">
        <v>16</v>
      </c>
      <c r="BH346">
        <v>1</v>
      </c>
      <c r="BI346">
        <v>1</v>
      </c>
      <c r="BJ346">
        <v>1</v>
      </c>
      <c r="BK346">
        <v>0</v>
      </c>
      <c r="BL346">
        <v>3</v>
      </c>
      <c r="BM346">
        <v>1</v>
      </c>
      <c r="BN346">
        <v>42</v>
      </c>
      <c r="BO346">
        <v>145</v>
      </c>
      <c r="BP346">
        <v>110</v>
      </c>
      <c r="BQ346">
        <v>10</v>
      </c>
      <c r="BR346">
        <v>2</v>
      </c>
      <c r="BS346">
        <v>6</v>
      </c>
      <c r="BT346">
        <v>0</v>
      </c>
      <c r="BU346">
        <v>0</v>
      </c>
      <c r="BV346">
        <v>3</v>
      </c>
      <c r="BW346">
        <v>3</v>
      </c>
      <c r="BX346">
        <v>3</v>
      </c>
      <c r="BY346">
        <v>8</v>
      </c>
      <c r="BZ346">
        <v>145</v>
      </c>
      <c r="CA346">
        <v>7</v>
      </c>
      <c r="CB346">
        <v>4</v>
      </c>
      <c r="CC346">
        <v>0</v>
      </c>
      <c r="CD346">
        <v>2</v>
      </c>
      <c r="CE346">
        <v>1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7</v>
      </c>
      <c r="CM346">
        <v>9</v>
      </c>
      <c r="CN346">
        <v>5</v>
      </c>
      <c r="CO346">
        <v>2</v>
      </c>
      <c r="CP346">
        <v>0</v>
      </c>
      <c r="CQ346">
        <v>0</v>
      </c>
      <c r="CR346">
        <v>0</v>
      </c>
      <c r="CS346">
        <v>2</v>
      </c>
      <c r="CT346">
        <v>0</v>
      </c>
      <c r="CU346">
        <v>0</v>
      </c>
      <c r="CV346">
        <v>0</v>
      </c>
      <c r="CW346">
        <v>0</v>
      </c>
      <c r="CX346">
        <v>9</v>
      </c>
      <c r="CY346">
        <v>12</v>
      </c>
      <c r="CZ346">
        <v>6</v>
      </c>
      <c r="DA346">
        <v>0</v>
      </c>
      <c r="DB346">
        <v>1</v>
      </c>
      <c r="DC346">
        <v>0</v>
      </c>
      <c r="DD346">
        <v>0</v>
      </c>
      <c r="DE346">
        <v>0</v>
      </c>
      <c r="DF346">
        <v>1</v>
      </c>
      <c r="DG346">
        <v>1</v>
      </c>
      <c r="DH346">
        <v>2</v>
      </c>
      <c r="DI346">
        <v>1</v>
      </c>
      <c r="DJ346">
        <v>12</v>
      </c>
      <c r="DK346">
        <v>124</v>
      </c>
      <c r="DL346">
        <v>72</v>
      </c>
      <c r="DM346">
        <v>36</v>
      </c>
      <c r="DN346">
        <v>1</v>
      </c>
      <c r="DO346">
        <v>11</v>
      </c>
      <c r="DP346">
        <v>1</v>
      </c>
      <c r="DQ346">
        <v>1</v>
      </c>
      <c r="DR346">
        <v>0</v>
      </c>
      <c r="DS346">
        <v>0</v>
      </c>
      <c r="DT346">
        <v>1</v>
      </c>
      <c r="DU346">
        <v>1</v>
      </c>
      <c r="DV346">
        <v>124</v>
      </c>
      <c r="DW346">
        <v>6</v>
      </c>
      <c r="DX346">
        <v>5</v>
      </c>
      <c r="DY346">
        <v>0</v>
      </c>
      <c r="DZ346">
        <v>0</v>
      </c>
      <c r="EA346">
        <v>0</v>
      </c>
      <c r="EB346">
        <v>0</v>
      </c>
      <c r="EC346">
        <v>1</v>
      </c>
      <c r="ED346">
        <v>0</v>
      </c>
      <c r="EE346">
        <v>0</v>
      </c>
      <c r="EF346">
        <v>0</v>
      </c>
      <c r="EG346">
        <v>0</v>
      </c>
      <c r="EH346">
        <v>6</v>
      </c>
      <c r="EI346">
        <v>4</v>
      </c>
      <c r="EJ346">
        <v>0</v>
      </c>
      <c r="EK346">
        <v>3</v>
      </c>
      <c r="EL346">
        <v>0</v>
      </c>
      <c r="EM346">
        <v>1</v>
      </c>
      <c r="EN346">
        <v>0</v>
      </c>
      <c r="EO346">
        <v>0</v>
      </c>
      <c r="EP346">
        <v>0</v>
      </c>
      <c r="EQ346">
        <v>0</v>
      </c>
      <c r="ER346">
        <v>4</v>
      </c>
      <c r="ES346">
        <v>1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1</v>
      </c>
      <c r="FD346">
        <v>1</v>
      </c>
      <c r="FE346">
        <v>2</v>
      </c>
      <c r="FF346">
        <v>1</v>
      </c>
      <c r="FG346">
        <v>0</v>
      </c>
      <c r="FH346">
        <v>0</v>
      </c>
      <c r="FI346">
        <v>1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2</v>
      </c>
    </row>
    <row r="347" spans="1:172" ht="14.25">
      <c r="A347">
        <v>342</v>
      </c>
      <c r="B347" t="str">
        <f t="shared" si="67"/>
        <v>101901</v>
      </c>
      <c r="C347" t="str">
        <f t="shared" si="68"/>
        <v>m. Zduńska Wola</v>
      </c>
      <c r="D347" t="str">
        <f t="shared" si="69"/>
        <v>zduńskowolski</v>
      </c>
      <c r="E347" t="str">
        <f t="shared" si="64"/>
        <v>łódzkie</v>
      </c>
      <c r="F347">
        <v>4</v>
      </c>
      <c r="G347" t="str">
        <f>"Zespół Szkół Elektronicznych, Łaska 61, 98-220 Zduńska Wola"</f>
        <v>Zespół Szkół Elektronicznych, Łaska 61, 98-220 Zduńska Wola</v>
      </c>
      <c r="H347">
        <v>1777</v>
      </c>
      <c r="I347">
        <v>1777</v>
      </c>
      <c r="J347">
        <v>0</v>
      </c>
      <c r="K347">
        <v>1250</v>
      </c>
      <c r="L347">
        <v>747</v>
      </c>
      <c r="M347">
        <v>503</v>
      </c>
      <c r="N347">
        <v>503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503</v>
      </c>
      <c r="Z347">
        <v>0</v>
      </c>
      <c r="AA347">
        <v>0</v>
      </c>
      <c r="AB347">
        <v>503</v>
      </c>
      <c r="AC347">
        <v>3</v>
      </c>
      <c r="AD347">
        <v>500</v>
      </c>
      <c r="AE347">
        <v>11</v>
      </c>
      <c r="AF347">
        <v>7</v>
      </c>
      <c r="AG347">
        <v>2</v>
      </c>
      <c r="AH347">
        <v>0</v>
      </c>
      <c r="AI347">
        <v>0</v>
      </c>
      <c r="AJ347">
        <v>1</v>
      </c>
      <c r="AK347">
        <v>0</v>
      </c>
      <c r="AL347">
        <v>0</v>
      </c>
      <c r="AM347">
        <v>1</v>
      </c>
      <c r="AN347">
        <v>0</v>
      </c>
      <c r="AO347">
        <v>0</v>
      </c>
      <c r="AP347">
        <v>11</v>
      </c>
      <c r="AQ347">
        <v>11</v>
      </c>
      <c r="AR347">
        <v>3</v>
      </c>
      <c r="AS347">
        <v>0</v>
      </c>
      <c r="AT347">
        <v>1</v>
      </c>
      <c r="AU347">
        <v>0</v>
      </c>
      <c r="AV347">
        <v>1</v>
      </c>
      <c r="AW347">
        <v>0</v>
      </c>
      <c r="AX347">
        <v>0</v>
      </c>
      <c r="AY347">
        <v>0</v>
      </c>
      <c r="AZ347">
        <v>0</v>
      </c>
      <c r="BA347">
        <v>6</v>
      </c>
      <c r="BB347">
        <v>11</v>
      </c>
      <c r="BC347">
        <v>45</v>
      </c>
      <c r="BD347">
        <v>12</v>
      </c>
      <c r="BE347">
        <v>1</v>
      </c>
      <c r="BF347">
        <v>3</v>
      </c>
      <c r="BG347">
        <v>11</v>
      </c>
      <c r="BH347">
        <v>2</v>
      </c>
      <c r="BI347">
        <v>3</v>
      </c>
      <c r="BJ347">
        <v>0</v>
      </c>
      <c r="BK347">
        <v>2</v>
      </c>
      <c r="BL347">
        <v>3</v>
      </c>
      <c r="BM347">
        <v>8</v>
      </c>
      <c r="BN347">
        <v>45</v>
      </c>
      <c r="BO347">
        <v>203</v>
      </c>
      <c r="BP347">
        <v>147</v>
      </c>
      <c r="BQ347">
        <v>7</v>
      </c>
      <c r="BR347">
        <v>12</v>
      </c>
      <c r="BS347">
        <v>15</v>
      </c>
      <c r="BT347">
        <v>0</v>
      </c>
      <c r="BU347">
        <v>3</v>
      </c>
      <c r="BV347">
        <v>4</v>
      </c>
      <c r="BW347">
        <v>2</v>
      </c>
      <c r="BX347">
        <v>1</v>
      </c>
      <c r="BY347">
        <v>12</v>
      </c>
      <c r="BZ347">
        <v>203</v>
      </c>
      <c r="CA347">
        <v>11</v>
      </c>
      <c r="CB347">
        <v>0</v>
      </c>
      <c r="CC347">
        <v>5</v>
      </c>
      <c r="CD347">
        <v>1</v>
      </c>
      <c r="CE347">
        <v>0</v>
      </c>
      <c r="CF347">
        <v>0</v>
      </c>
      <c r="CG347">
        <v>2</v>
      </c>
      <c r="CH347">
        <v>0</v>
      </c>
      <c r="CI347">
        <v>0</v>
      </c>
      <c r="CJ347">
        <v>0</v>
      </c>
      <c r="CK347">
        <v>3</v>
      </c>
      <c r="CL347">
        <v>11</v>
      </c>
      <c r="CM347">
        <v>15</v>
      </c>
      <c r="CN347">
        <v>12</v>
      </c>
      <c r="CO347">
        <v>0</v>
      </c>
      <c r="CP347">
        <v>0</v>
      </c>
      <c r="CQ347">
        <v>2</v>
      </c>
      <c r="CR347">
        <v>0</v>
      </c>
      <c r="CS347">
        <v>0</v>
      </c>
      <c r="CT347">
        <v>0</v>
      </c>
      <c r="CU347">
        <v>0</v>
      </c>
      <c r="CV347">
        <v>1</v>
      </c>
      <c r="CW347">
        <v>0</v>
      </c>
      <c r="CX347">
        <v>15</v>
      </c>
      <c r="CY347">
        <v>30</v>
      </c>
      <c r="CZ347">
        <v>18</v>
      </c>
      <c r="DA347">
        <v>5</v>
      </c>
      <c r="DB347">
        <v>1</v>
      </c>
      <c r="DC347">
        <v>1</v>
      </c>
      <c r="DD347">
        <v>0</v>
      </c>
      <c r="DE347">
        <v>0</v>
      </c>
      <c r="DF347">
        <v>1</v>
      </c>
      <c r="DG347">
        <v>3</v>
      </c>
      <c r="DH347">
        <v>0</v>
      </c>
      <c r="DI347">
        <v>1</v>
      </c>
      <c r="DJ347">
        <v>30</v>
      </c>
      <c r="DK347">
        <v>159</v>
      </c>
      <c r="DL347">
        <v>118</v>
      </c>
      <c r="DM347">
        <v>31</v>
      </c>
      <c r="DN347">
        <v>1</v>
      </c>
      <c r="DO347">
        <v>6</v>
      </c>
      <c r="DP347">
        <v>1</v>
      </c>
      <c r="DQ347">
        <v>0</v>
      </c>
      <c r="DR347">
        <v>1</v>
      </c>
      <c r="DS347">
        <v>0</v>
      </c>
      <c r="DT347">
        <v>0</v>
      </c>
      <c r="DU347">
        <v>1</v>
      </c>
      <c r="DV347">
        <v>159</v>
      </c>
      <c r="DW347">
        <v>9</v>
      </c>
      <c r="DX347">
        <v>2</v>
      </c>
      <c r="DY347">
        <v>3</v>
      </c>
      <c r="DZ347">
        <v>1</v>
      </c>
      <c r="EA347">
        <v>0</v>
      </c>
      <c r="EB347">
        <v>0</v>
      </c>
      <c r="EC347">
        <v>0</v>
      </c>
      <c r="ED347">
        <v>3</v>
      </c>
      <c r="EE347">
        <v>0</v>
      </c>
      <c r="EF347">
        <v>0</v>
      </c>
      <c r="EG347">
        <v>0</v>
      </c>
      <c r="EH347">
        <v>9</v>
      </c>
      <c r="EI347">
        <v>2</v>
      </c>
      <c r="EJ347">
        <v>0</v>
      </c>
      <c r="EK347">
        <v>0</v>
      </c>
      <c r="EL347">
        <v>0</v>
      </c>
      <c r="EM347">
        <v>1</v>
      </c>
      <c r="EN347">
        <v>0</v>
      </c>
      <c r="EO347">
        <v>1</v>
      </c>
      <c r="EP347">
        <v>0</v>
      </c>
      <c r="EQ347">
        <v>0</v>
      </c>
      <c r="ER347">
        <v>2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4</v>
      </c>
      <c r="FF347">
        <v>0</v>
      </c>
      <c r="FG347">
        <v>1</v>
      </c>
      <c r="FH347">
        <v>0</v>
      </c>
      <c r="FI347">
        <v>0</v>
      </c>
      <c r="FJ347">
        <v>1</v>
      </c>
      <c r="FK347">
        <v>0</v>
      </c>
      <c r="FL347">
        <v>1</v>
      </c>
      <c r="FM347">
        <v>0</v>
      </c>
      <c r="FN347">
        <v>1</v>
      </c>
      <c r="FO347">
        <v>0</v>
      </c>
      <c r="FP347">
        <v>4</v>
      </c>
    </row>
    <row r="348" spans="1:172" ht="14.25">
      <c r="A348">
        <v>343</v>
      </c>
      <c r="B348" t="str">
        <f t="shared" si="67"/>
        <v>101901</v>
      </c>
      <c r="C348" t="str">
        <f t="shared" si="68"/>
        <v>m. Zduńska Wola</v>
      </c>
      <c r="D348" t="str">
        <f t="shared" si="69"/>
        <v>zduńskowolski</v>
      </c>
      <c r="E348" t="str">
        <f t="shared" si="64"/>
        <v>łódzkie</v>
      </c>
      <c r="F348">
        <v>5</v>
      </c>
      <c r="G348" t="str">
        <f>"Powiatowe Centrum Kultury, Sportu i Rekreacji, Dolna 41, 98-220 Zduńska Wola"</f>
        <v>Powiatowe Centrum Kultury, Sportu i Rekreacji, Dolna 41, 98-220 Zduńska Wola</v>
      </c>
      <c r="H348">
        <v>1823</v>
      </c>
      <c r="I348">
        <v>1823</v>
      </c>
      <c r="J348">
        <v>0</v>
      </c>
      <c r="K348">
        <v>1290</v>
      </c>
      <c r="L348">
        <v>936</v>
      </c>
      <c r="M348">
        <v>354</v>
      </c>
      <c r="N348">
        <v>354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354</v>
      </c>
      <c r="Z348">
        <v>0</v>
      </c>
      <c r="AA348">
        <v>0</v>
      </c>
      <c r="AB348">
        <v>354</v>
      </c>
      <c r="AC348">
        <v>13</v>
      </c>
      <c r="AD348">
        <v>341</v>
      </c>
      <c r="AE348">
        <v>9</v>
      </c>
      <c r="AF348">
        <v>6</v>
      </c>
      <c r="AG348">
        <v>1</v>
      </c>
      <c r="AH348">
        <v>2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9</v>
      </c>
      <c r="AQ348">
        <v>3</v>
      </c>
      <c r="AR348">
        <v>2</v>
      </c>
      <c r="AS348">
        <v>1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3</v>
      </c>
      <c r="BC348">
        <v>24</v>
      </c>
      <c r="BD348">
        <v>14</v>
      </c>
      <c r="BE348">
        <v>4</v>
      </c>
      <c r="BF348">
        <v>1</v>
      </c>
      <c r="BG348">
        <v>3</v>
      </c>
      <c r="BH348">
        <v>0</v>
      </c>
      <c r="BI348">
        <v>0</v>
      </c>
      <c r="BJ348">
        <v>0</v>
      </c>
      <c r="BK348">
        <v>1</v>
      </c>
      <c r="BL348">
        <v>0</v>
      </c>
      <c r="BM348">
        <v>1</v>
      </c>
      <c r="BN348">
        <v>24</v>
      </c>
      <c r="BO348">
        <v>123</v>
      </c>
      <c r="BP348">
        <v>91</v>
      </c>
      <c r="BQ348">
        <v>4</v>
      </c>
      <c r="BR348">
        <v>4</v>
      </c>
      <c r="BS348">
        <v>9</v>
      </c>
      <c r="BT348">
        <v>2</v>
      </c>
      <c r="BU348">
        <v>1</v>
      </c>
      <c r="BV348">
        <v>3</v>
      </c>
      <c r="BW348">
        <v>2</v>
      </c>
      <c r="BX348">
        <v>1</v>
      </c>
      <c r="BY348">
        <v>6</v>
      </c>
      <c r="BZ348">
        <v>123</v>
      </c>
      <c r="CA348">
        <v>3</v>
      </c>
      <c r="CB348">
        <v>1</v>
      </c>
      <c r="CC348">
        <v>1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1</v>
      </c>
      <c r="CL348">
        <v>3</v>
      </c>
      <c r="CM348">
        <v>13</v>
      </c>
      <c r="CN348">
        <v>12</v>
      </c>
      <c r="CO348">
        <v>0</v>
      </c>
      <c r="CP348">
        <v>0</v>
      </c>
      <c r="CQ348">
        <v>0</v>
      </c>
      <c r="CR348">
        <v>0</v>
      </c>
      <c r="CS348">
        <v>1</v>
      </c>
      <c r="CT348">
        <v>0</v>
      </c>
      <c r="CU348">
        <v>0</v>
      </c>
      <c r="CV348">
        <v>0</v>
      </c>
      <c r="CW348">
        <v>0</v>
      </c>
      <c r="CX348">
        <v>13</v>
      </c>
      <c r="CY348">
        <v>39</v>
      </c>
      <c r="CZ348">
        <v>30</v>
      </c>
      <c r="DA348">
        <v>3</v>
      </c>
      <c r="DB348">
        <v>1</v>
      </c>
      <c r="DC348">
        <v>0</v>
      </c>
      <c r="DD348">
        <v>3</v>
      </c>
      <c r="DE348">
        <v>0</v>
      </c>
      <c r="DF348">
        <v>0</v>
      </c>
      <c r="DG348">
        <v>0</v>
      </c>
      <c r="DH348">
        <v>1</v>
      </c>
      <c r="DI348">
        <v>1</v>
      </c>
      <c r="DJ348">
        <v>39</v>
      </c>
      <c r="DK348">
        <v>119</v>
      </c>
      <c r="DL348">
        <v>75</v>
      </c>
      <c r="DM348">
        <v>25</v>
      </c>
      <c r="DN348">
        <v>0</v>
      </c>
      <c r="DO348">
        <v>10</v>
      </c>
      <c r="DP348">
        <v>0</v>
      </c>
      <c r="DQ348">
        <v>1</v>
      </c>
      <c r="DR348">
        <v>1</v>
      </c>
      <c r="DS348">
        <v>2</v>
      </c>
      <c r="DT348">
        <v>3</v>
      </c>
      <c r="DU348">
        <v>2</v>
      </c>
      <c r="DV348">
        <v>119</v>
      </c>
      <c r="DW348">
        <v>7</v>
      </c>
      <c r="DX348">
        <v>4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2</v>
      </c>
      <c r="EE348">
        <v>1</v>
      </c>
      <c r="EF348">
        <v>0</v>
      </c>
      <c r="EG348">
        <v>0</v>
      </c>
      <c r="EH348">
        <v>7</v>
      </c>
      <c r="EI348">
        <v>1</v>
      </c>
      <c r="EJ348">
        <v>1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1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</row>
    <row r="349" spans="1:172" ht="14.25">
      <c r="A349">
        <v>344</v>
      </c>
      <c r="B349" t="str">
        <f t="shared" si="67"/>
        <v>101901</v>
      </c>
      <c r="C349" t="str">
        <f t="shared" si="68"/>
        <v>m. Zduńska Wola</v>
      </c>
      <c r="D349" t="str">
        <f t="shared" si="69"/>
        <v>zduńskowolski</v>
      </c>
      <c r="E349" t="str">
        <f t="shared" si="64"/>
        <v>łódzkie</v>
      </c>
      <c r="F349">
        <v>6</v>
      </c>
      <c r="G349" t="str">
        <f>"Publiczne Gimnazjum nr 1 Sala Gimnastyczna, Parkowa 5, 98-220 Zduńska Wola"</f>
        <v>Publiczne Gimnazjum nr 1 Sala Gimnastyczna, Parkowa 5, 98-220 Zduńska Wola</v>
      </c>
      <c r="H349">
        <v>1897</v>
      </c>
      <c r="I349">
        <v>1897</v>
      </c>
      <c r="J349">
        <v>0</v>
      </c>
      <c r="K349">
        <v>1340</v>
      </c>
      <c r="L349">
        <v>933</v>
      </c>
      <c r="M349">
        <v>407</v>
      </c>
      <c r="N349">
        <v>407</v>
      </c>
      <c r="O349">
        <v>0</v>
      </c>
      <c r="P349">
        <v>0</v>
      </c>
      <c r="Q349">
        <v>1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407</v>
      </c>
      <c r="Z349">
        <v>0</v>
      </c>
      <c r="AA349">
        <v>0</v>
      </c>
      <c r="AB349">
        <v>407</v>
      </c>
      <c r="AC349">
        <v>13</v>
      </c>
      <c r="AD349">
        <v>394</v>
      </c>
      <c r="AE349">
        <v>4</v>
      </c>
      <c r="AF349">
        <v>3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1</v>
      </c>
      <c r="AP349">
        <v>4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17</v>
      </c>
      <c r="BD349">
        <v>6</v>
      </c>
      <c r="BE349">
        <v>1</v>
      </c>
      <c r="BF349">
        <v>1</v>
      </c>
      <c r="BG349">
        <v>4</v>
      </c>
      <c r="BH349">
        <v>1</v>
      </c>
      <c r="BI349">
        <v>0</v>
      </c>
      <c r="BJ349">
        <v>0</v>
      </c>
      <c r="BK349">
        <v>0</v>
      </c>
      <c r="BL349">
        <v>0</v>
      </c>
      <c r="BM349">
        <v>4</v>
      </c>
      <c r="BN349">
        <v>17</v>
      </c>
      <c r="BO349">
        <v>155</v>
      </c>
      <c r="BP349">
        <v>92</v>
      </c>
      <c r="BQ349">
        <v>15</v>
      </c>
      <c r="BR349">
        <v>6</v>
      </c>
      <c r="BS349">
        <v>28</v>
      </c>
      <c r="BT349">
        <v>2</v>
      </c>
      <c r="BU349">
        <v>0</v>
      </c>
      <c r="BV349">
        <v>3</v>
      </c>
      <c r="BW349">
        <v>0</v>
      </c>
      <c r="BX349">
        <v>1</v>
      </c>
      <c r="BY349">
        <v>8</v>
      </c>
      <c r="BZ349">
        <v>155</v>
      </c>
      <c r="CA349">
        <v>4</v>
      </c>
      <c r="CB349">
        <v>1</v>
      </c>
      <c r="CC349">
        <v>2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1</v>
      </c>
      <c r="CL349">
        <v>4</v>
      </c>
      <c r="CM349">
        <v>14</v>
      </c>
      <c r="CN349">
        <v>12</v>
      </c>
      <c r="CO349">
        <v>0</v>
      </c>
      <c r="CP349">
        <v>0</v>
      </c>
      <c r="CQ349">
        <v>0</v>
      </c>
      <c r="CR349">
        <v>0</v>
      </c>
      <c r="CS349">
        <v>1</v>
      </c>
      <c r="CT349">
        <v>0</v>
      </c>
      <c r="CU349">
        <v>0</v>
      </c>
      <c r="CV349">
        <v>0</v>
      </c>
      <c r="CW349">
        <v>1</v>
      </c>
      <c r="CX349">
        <v>14</v>
      </c>
      <c r="CY349">
        <v>38</v>
      </c>
      <c r="CZ349">
        <v>27</v>
      </c>
      <c r="DA349">
        <v>3</v>
      </c>
      <c r="DB349">
        <v>0</v>
      </c>
      <c r="DC349">
        <v>0</v>
      </c>
      <c r="DD349">
        <v>1</v>
      </c>
      <c r="DE349">
        <v>0</v>
      </c>
      <c r="DF349">
        <v>2</v>
      </c>
      <c r="DG349">
        <v>0</v>
      </c>
      <c r="DH349">
        <v>4</v>
      </c>
      <c r="DI349">
        <v>1</v>
      </c>
      <c r="DJ349">
        <v>38</v>
      </c>
      <c r="DK349">
        <v>139</v>
      </c>
      <c r="DL349">
        <v>103</v>
      </c>
      <c r="DM349">
        <v>17</v>
      </c>
      <c r="DN349">
        <v>1</v>
      </c>
      <c r="DO349">
        <v>9</v>
      </c>
      <c r="DP349">
        <v>4</v>
      </c>
      <c r="DQ349">
        <v>0</v>
      </c>
      <c r="DR349">
        <v>0</v>
      </c>
      <c r="DS349">
        <v>2</v>
      </c>
      <c r="DT349">
        <v>1</v>
      </c>
      <c r="DU349">
        <v>2</v>
      </c>
      <c r="DV349">
        <v>139</v>
      </c>
      <c r="DW349">
        <v>12</v>
      </c>
      <c r="DX349">
        <v>6</v>
      </c>
      <c r="DY349">
        <v>1</v>
      </c>
      <c r="DZ349">
        <v>0</v>
      </c>
      <c r="EA349">
        <v>1</v>
      </c>
      <c r="EB349">
        <v>0</v>
      </c>
      <c r="EC349">
        <v>0</v>
      </c>
      <c r="ED349">
        <v>3</v>
      </c>
      <c r="EE349">
        <v>0</v>
      </c>
      <c r="EF349">
        <v>0</v>
      </c>
      <c r="EG349">
        <v>1</v>
      </c>
      <c r="EH349">
        <v>12</v>
      </c>
      <c r="EI349">
        <v>3</v>
      </c>
      <c r="EJ349">
        <v>0</v>
      </c>
      <c r="EK349">
        <v>1</v>
      </c>
      <c r="EL349">
        <v>0</v>
      </c>
      <c r="EM349">
        <v>0</v>
      </c>
      <c r="EN349">
        <v>0</v>
      </c>
      <c r="EO349">
        <v>1</v>
      </c>
      <c r="EP349">
        <v>0</v>
      </c>
      <c r="EQ349">
        <v>1</v>
      </c>
      <c r="ER349">
        <v>3</v>
      </c>
      <c r="ES349">
        <v>1</v>
      </c>
      <c r="ET349">
        <v>1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1</v>
      </c>
      <c r="FE349">
        <v>7</v>
      </c>
      <c r="FF349">
        <v>1</v>
      </c>
      <c r="FG349">
        <v>4</v>
      </c>
      <c r="FH349">
        <v>0</v>
      </c>
      <c r="FI349">
        <v>0</v>
      </c>
      <c r="FJ349">
        <v>0</v>
      </c>
      <c r="FK349">
        <v>0</v>
      </c>
      <c r="FL349">
        <v>1</v>
      </c>
      <c r="FM349">
        <v>0</v>
      </c>
      <c r="FN349">
        <v>0</v>
      </c>
      <c r="FO349">
        <v>1</v>
      </c>
      <c r="FP349">
        <v>7</v>
      </c>
    </row>
    <row r="350" spans="1:172" ht="14.25">
      <c r="A350">
        <v>345</v>
      </c>
      <c r="B350" t="str">
        <f t="shared" si="67"/>
        <v>101901</v>
      </c>
      <c r="C350" t="str">
        <f t="shared" si="68"/>
        <v>m. Zduńska Wola</v>
      </c>
      <c r="D350" t="str">
        <f t="shared" si="69"/>
        <v>zduńskowolski</v>
      </c>
      <c r="E350" t="str">
        <f t="shared" si="64"/>
        <v>łódzkie</v>
      </c>
      <c r="F350">
        <v>7</v>
      </c>
      <c r="G350" t="str">
        <f>"Hala Sportowa przy Szkole Podstawowej nr 6, Złota 67, 98-220 Zduńska Wola"</f>
        <v>Hala Sportowa przy Szkole Podstawowej nr 6, Złota 67, 98-220 Zduńska Wola</v>
      </c>
      <c r="H350">
        <v>1563</v>
      </c>
      <c r="I350">
        <v>1563</v>
      </c>
      <c r="J350">
        <v>0</v>
      </c>
      <c r="K350">
        <v>1100</v>
      </c>
      <c r="L350">
        <v>752</v>
      </c>
      <c r="M350">
        <v>348</v>
      </c>
      <c r="N350">
        <v>348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348</v>
      </c>
      <c r="Z350">
        <v>0</v>
      </c>
      <c r="AA350">
        <v>0</v>
      </c>
      <c r="AB350">
        <v>348</v>
      </c>
      <c r="AC350">
        <v>10</v>
      </c>
      <c r="AD350">
        <v>338</v>
      </c>
      <c r="AE350">
        <v>10</v>
      </c>
      <c r="AF350">
        <v>7</v>
      </c>
      <c r="AG350">
        <v>1</v>
      </c>
      <c r="AH350">
        <v>0</v>
      </c>
      <c r="AI350">
        <v>1</v>
      </c>
      <c r="AJ350">
        <v>0</v>
      </c>
      <c r="AK350">
        <v>1</v>
      </c>
      <c r="AL350">
        <v>0</v>
      </c>
      <c r="AM350">
        <v>0</v>
      </c>
      <c r="AN350">
        <v>0</v>
      </c>
      <c r="AO350">
        <v>0</v>
      </c>
      <c r="AP350">
        <v>10</v>
      </c>
      <c r="AQ350">
        <v>3</v>
      </c>
      <c r="AR350">
        <v>1</v>
      </c>
      <c r="AS350">
        <v>0</v>
      </c>
      <c r="AT350">
        <v>0</v>
      </c>
      <c r="AU350">
        <v>1</v>
      </c>
      <c r="AV350">
        <v>1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3</v>
      </c>
      <c r="BC350">
        <v>30</v>
      </c>
      <c r="BD350">
        <v>11</v>
      </c>
      <c r="BE350">
        <v>0</v>
      </c>
      <c r="BF350">
        <v>1</v>
      </c>
      <c r="BG350">
        <v>15</v>
      </c>
      <c r="BH350">
        <v>0</v>
      </c>
      <c r="BI350">
        <v>1</v>
      </c>
      <c r="BJ350">
        <v>0</v>
      </c>
      <c r="BK350">
        <v>0</v>
      </c>
      <c r="BL350">
        <v>0</v>
      </c>
      <c r="BM350">
        <v>2</v>
      </c>
      <c r="BN350">
        <v>30</v>
      </c>
      <c r="BO350">
        <v>115</v>
      </c>
      <c r="BP350">
        <v>88</v>
      </c>
      <c r="BQ350">
        <v>7</v>
      </c>
      <c r="BR350">
        <v>4</v>
      </c>
      <c r="BS350">
        <v>12</v>
      </c>
      <c r="BT350">
        <v>0</v>
      </c>
      <c r="BU350">
        <v>0</v>
      </c>
      <c r="BV350">
        <v>1</v>
      </c>
      <c r="BW350">
        <v>0</v>
      </c>
      <c r="BX350">
        <v>1</v>
      </c>
      <c r="BY350">
        <v>2</v>
      </c>
      <c r="BZ350">
        <v>115</v>
      </c>
      <c r="CA350">
        <v>8</v>
      </c>
      <c r="CB350">
        <v>2</v>
      </c>
      <c r="CC350">
        <v>4</v>
      </c>
      <c r="CD350">
        <v>0</v>
      </c>
      <c r="CE350">
        <v>0</v>
      </c>
      <c r="CF350">
        <v>0</v>
      </c>
      <c r="CG350">
        <v>0</v>
      </c>
      <c r="CH350">
        <v>1</v>
      </c>
      <c r="CI350">
        <v>1</v>
      </c>
      <c r="CJ350">
        <v>0</v>
      </c>
      <c r="CK350">
        <v>0</v>
      </c>
      <c r="CL350">
        <v>8</v>
      </c>
      <c r="CM350">
        <v>15</v>
      </c>
      <c r="CN350">
        <v>14</v>
      </c>
      <c r="CO350">
        <v>0</v>
      </c>
      <c r="CP350">
        <v>1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15</v>
      </c>
      <c r="CY350">
        <v>25</v>
      </c>
      <c r="CZ350">
        <v>19</v>
      </c>
      <c r="DA350">
        <v>3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3</v>
      </c>
      <c r="DH350">
        <v>0</v>
      </c>
      <c r="DI350">
        <v>0</v>
      </c>
      <c r="DJ350">
        <v>25</v>
      </c>
      <c r="DK350">
        <v>126</v>
      </c>
      <c r="DL350">
        <v>85</v>
      </c>
      <c r="DM350">
        <v>31</v>
      </c>
      <c r="DN350">
        <v>1</v>
      </c>
      <c r="DO350">
        <v>3</v>
      </c>
      <c r="DP350">
        <v>1</v>
      </c>
      <c r="DQ350">
        <v>0</v>
      </c>
      <c r="DR350">
        <v>0</v>
      </c>
      <c r="DS350">
        <v>1</v>
      </c>
      <c r="DT350">
        <v>1</v>
      </c>
      <c r="DU350">
        <v>3</v>
      </c>
      <c r="DV350">
        <v>126</v>
      </c>
      <c r="DW350">
        <v>3</v>
      </c>
      <c r="DX350">
        <v>2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1</v>
      </c>
      <c r="EF350">
        <v>0</v>
      </c>
      <c r="EG350">
        <v>0</v>
      </c>
      <c r="EH350">
        <v>3</v>
      </c>
      <c r="EI350">
        <v>1</v>
      </c>
      <c r="EJ350">
        <v>0</v>
      </c>
      <c r="EK350">
        <v>1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1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2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1</v>
      </c>
      <c r="FM350">
        <v>1</v>
      </c>
      <c r="FN350">
        <v>0</v>
      </c>
      <c r="FO350">
        <v>0</v>
      </c>
      <c r="FP350">
        <v>2</v>
      </c>
    </row>
    <row r="351" spans="1:172" ht="14.25">
      <c r="A351">
        <v>346</v>
      </c>
      <c r="B351" t="str">
        <f t="shared" si="67"/>
        <v>101901</v>
      </c>
      <c r="C351" t="str">
        <f t="shared" si="68"/>
        <v>m. Zduńska Wola</v>
      </c>
      <c r="D351" t="str">
        <f t="shared" si="69"/>
        <v>zduńskowolski</v>
      </c>
      <c r="E351" t="str">
        <f t="shared" si="64"/>
        <v>łódzkie</v>
      </c>
      <c r="F351">
        <v>8</v>
      </c>
      <c r="G351" t="str">
        <f>"Szkoła Podstawowa nr 6, Złota 67, 98-220 Zduńska Wola"</f>
        <v>Szkoła Podstawowa nr 6, Złota 67, 98-220 Zduńska Wola</v>
      </c>
      <c r="H351">
        <v>1588</v>
      </c>
      <c r="I351">
        <v>1588</v>
      </c>
      <c r="J351">
        <v>0</v>
      </c>
      <c r="K351">
        <v>1120</v>
      </c>
      <c r="L351">
        <v>771</v>
      </c>
      <c r="M351">
        <v>349</v>
      </c>
      <c r="N351">
        <v>349</v>
      </c>
      <c r="O351">
        <v>0</v>
      </c>
      <c r="P351">
        <v>0</v>
      </c>
      <c r="Q351">
        <v>2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348</v>
      </c>
      <c r="Z351">
        <v>0</v>
      </c>
      <c r="AA351">
        <v>0</v>
      </c>
      <c r="AB351">
        <v>348</v>
      </c>
      <c r="AC351">
        <v>8</v>
      </c>
      <c r="AD351">
        <v>340</v>
      </c>
      <c r="AE351">
        <v>5</v>
      </c>
      <c r="AF351">
        <v>2</v>
      </c>
      <c r="AG351">
        <v>2</v>
      </c>
      <c r="AH351">
        <v>1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5</v>
      </c>
      <c r="AQ351">
        <v>4</v>
      </c>
      <c r="AR351">
        <v>3</v>
      </c>
      <c r="AS351">
        <v>0</v>
      </c>
      <c r="AT351">
        <v>1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4</v>
      </c>
      <c r="BC351">
        <v>21</v>
      </c>
      <c r="BD351">
        <v>5</v>
      </c>
      <c r="BE351">
        <v>5</v>
      </c>
      <c r="BF351">
        <v>0</v>
      </c>
      <c r="BG351">
        <v>6</v>
      </c>
      <c r="BH351">
        <v>0</v>
      </c>
      <c r="BI351">
        <v>2</v>
      </c>
      <c r="BJ351">
        <v>0</v>
      </c>
      <c r="BK351">
        <v>2</v>
      </c>
      <c r="BL351">
        <v>1</v>
      </c>
      <c r="BM351">
        <v>0</v>
      </c>
      <c r="BN351">
        <v>21</v>
      </c>
      <c r="BO351">
        <v>132</v>
      </c>
      <c r="BP351">
        <v>113</v>
      </c>
      <c r="BQ351">
        <v>6</v>
      </c>
      <c r="BR351">
        <v>0</v>
      </c>
      <c r="BS351">
        <v>6</v>
      </c>
      <c r="BT351">
        <v>1</v>
      </c>
      <c r="BU351">
        <v>1</v>
      </c>
      <c r="BV351">
        <v>0</v>
      </c>
      <c r="BW351">
        <v>0</v>
      </c>
      <c r="BX351">
        <v>1</v>
      </c>
      <c r="BY351">
        <v>4</v>
      </c>
      <c r="BZ351">
        <v>132</v>
      </c>
      <c r="CA351">
        <v>10</v>
      </c>
      <c r="CB351">
        <v>0</v>
      </c>
      <c r="CC351">
        <v>5</v>
      </c>
      <c r="CD351">
        <v>0</v>
      </c>
      <c r="CE351">
        <v>0</v>
      </c>
      <c r="CF351">
        <v>1</v>
      </c>
      <c r="CG351">
        <v>1</v>
      </c>
      <c r="CH351">
        <v>1</v>
      </c>
      <c r="CI351">
        <v>0</v>
      </c>
      <c r="CJ351">
        <v>1</v>
      </c>
      <c r="CK351">
        <v>1</v>
      </c>
      <c r="CL351">
        <v>10</v>
      </c>
      <c r="CM351">
        <v>19</v>
      </c>
      <c r="CN351">
        <v>14</v>
      </c>
      <c r="CO351">
        <v>4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1</v>
      </c>
      <c r="CX351">
        <v>19</v>
      </c>
      <c r="CY351">
        <v>28</v>
      </c>
      <c r="CZ351">
        <v>22</v>
      </c>
      <c r="DA351">
        <v>0</v>
      </c>
      <c r="DB351">
        <v>0</v>
      </c>
      <c r="DC351">
        <v>2</v>
      </c>
      <c r="DD351">
        <v>0</v>
      </c>
      <c r="DE351">
        <v>0</v>
      </c>
      <c r="DF351">
        <v>0</v>
      </c>
      <c r="DG351">
        <v>1</v>
      </c>
      <c r="DH351">
        <v>2</v>
      </c>
      <c r="DI351">
        <v>1</v>
      </c>
      <c r="DJ351">
        <v>28</v>
      </c>
      <c r="DK351">
        <v>110</v>
      </c>
      <c r="DL351">
        <v>63</v>
      </c>
      <c r="DM351">
        <v>31</v>
      </c>
      <c r="DN351">
        <v>3</v>
      </c>
      <c r="DO351">
        <v>5</v>
      </c>
      <c r="DP351">
        <v>1</v>
      </c>
      <c r="DQ351">
        <v>0</v>
      </c>
      <c r="DR351">
        <v>1</v>
      </c>
      <c r="DS351">
        <v>1</v>
      </c>
      <c r="DT351">
        <v>0</v>
      </c>
      <c r="DU351">
        <v>5</v>
      </c>
      <c r="DV351">
        <v>110</v>
      </c>
      <c r="DW351">
        <v>5</v>
      </c>
      <c r="DX351">
        <v>3</v>
      </c>
      <c r="DY351">
        <v>1</v>
      </c>
      <c r="DZ351">
        <v>0</v>
      </c>
      <c r="EA351">
        <v>0</v>
      </c>
      <c r="EB351">
        <v>0</v>
      </c>
      <c r="EC351">
        <v>1</v>
      </c>
      <c r="ED351">
        <v>0</v>
      </c>
      <c r="EE351">
        <v>0</v>
      </c>
      <c r="EF351">
        <v>0</v>
      </c>
      <c r="EG351">
        <v>0</v>
      </c>
      <c r="EH351">
        <v>5</v>
      </c>
      <c r="EI351">
        <v>3</v>
      </c>
      <c r="EJ351">
        <v>0</v>
      </c>
      <c r="EK351">
        <v>1</v>
      </c>
      <c r="EL351">
        <v>0</v>
      </c>
      <c r="EM351">
        <v>0</v>
      </c>
      <c r="EN351">
        <v>0</v>
      </c>
      <c r="EO351">
        <v>1</v>
      </c>
      <c r="EP351">
        <v>1</v>
      </c>
      <c r="EQ351">
        <v>0</v>
      </c>
      <c r="ER351">
        <v>3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3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1</v>
      </c>
      <c r="FL351">
        <v>0</v>
      </c>
      <c r="FM351">
        <v>1</v>
      </c>
      <c r="FN351">
        <v>0</v>
      </c>
      <c r="FO351">
        <v>1</v>
      </c>
      <c r="FP351">
        <v>3</v>
      </c>
    </row>
    <row r="352" spans="1:172" ht="14.25">
      <c r="A352">
        <v>347</v>
      </c>
      <c r="B352" t="str">
        <f t="shared" si="67"/>
        <v>101901</v>
      </c>
      <c r="C352" t="str">
        <f t="shared" si="68"/>
        <v>m. Zduńska Wola</v>
      </c>
      <c r="D352" t="str">
        <f t="shared" si="69"/>
        <v>zduńskowolski</v>
      </c>
      <c r="E352" t="str">
        <f t="shared" si="64"/>
        <v>łódzkie</v>
      </c>
      <c r="F352">
        <v>9</v>
      </c>
      <c r="G352" t="str">
        <f>"II Liceum Ogólnokształcące, Komisji Edukacji Narodowej 6, 98-220 Zduńska Wola"</f>
        <v>II Liceum Ogólnokształcące, Komisji Edukacji Narodowej 6, 98-220 Zduńska Wola</v>
      </c>
      <c r="H352">
        <v>1596</v>
      </c>
      <c r="I352">
        <v>1596</v>
      </c>
      <c r="J352">
        <v>0</v>
      </c>
      <c r="K352">
        <v>1140</v>
      </c>
      <c r="L352">
        <v>848</v>
      </c>
      <c r="M352">
        <v>292</v>
      </c>
      <c r="N352">
        <v>292</v>
      </c>
      <c r="O352">
        <v>0</v>
      </c>
      <c r="P352">
        <v>0</v>
      </c>
      <c r="Q352">
        <v>2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292</v>
      </c>
      <c r="Z352">
        <v>0</v>
      </c>
      <c r="AA352">
        <v>0</v>
      </c>
      <c r="AB352">
        <v>292</v>
      </c>
      <c r="AC352">
        <v>2</v>
      </c>
      <c r="AD352">
        <v>290</v>
      </c>
      <c r="AE352">
        <v>14</v>
      </c>
      <c r="AF352">
        <v>10</v>
      </c>
      <c r="AG352">
        <v>1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2</v>
      </c>
      <c r="AO352">
        <v>1</v>
      </c>
      <c r="AP352">
        <v>14</v>
      </c>
      <c r="AQ352">
        <v>8</v>
      </c>
      <c r="AR352">
        <v>1</v>
      </c>
      <c r="AS352">
        <v>1</v>
      </c>
      <c r="AT352">
        <v>2</v>
      </c>
      <c r="AU352">
        <v>1</v>
      </c>
      <c r="AV352">
        <v>0</v>
      </c>
      <c r="AW352">
        <v>0</v>
      </c>
      <c r="AX352">
        <v>1</v>
      </c>
      <c r="AY352">
        <v>0</v>
      </c>
      <c r="AZ352">
        <v>1</v>
      </c>
      <c r="BA352">
        <v>1</v>
      </c>
      <c r="BB352">
        <v>8</v>
      </c>
      <c r="BC352">
        <v>33</v>
      </c>
      <c r="BD352">
        <v>14</v>
      </c>
      <c r="BE352">
        <v>1</v>
      </c>
      <c r="BF352">
        <v>4</v>
      </c>
      <c r="BG352">
        <v>10</v>
      </c>
      <c r="BH352">
        <v>1</v>
      </c>
      <c r="BI352">
        <v>1</v>
      </c>
      <c r="BJ352">
        <v>0</v>
      </c>
      <c r="BK352">
        <v>0</v>
      </c>
      <c r="BL352">
        <v>2</v>
      </c>
      <c r="BM352">
        <v>0</v>
      </c>
      <c r="BN352">
        <v>33</v>
      </c>
      <c r="BO352">
        <v>90</v>
      </c>
      <c r="BP352">
        <v>66</v>
      </c>
      <c r="BQ352">
        <v>4</v>
      </c>
      <c r="BR352">
        <v>3</v>
      </c>
      <c r="BS352">
        <v>12</v>
      </c>
      <c r="BT352">
        <v>0</v>
      </c>
      <c r="BU352">
        <v>0</v>
      </c>
      <c r="BV352">
        <v>1</v>
      </c>
      <c r="BW352">
        <v>1</v>
      </c>
      <c r="BX352">
        <v>0</v>
      </c>
      <c r="BY352">
        <v>3</v>
      </c>
      <c r="BZ352">
        <v>90</v>
      </c>
      <c r="CA352">
        <v>6</v>
      </c>
      <c r="CB352">
        <v>1</v>
      </c>
      <c r="CC352">
        <v>0</v>
      </c>
      <c r="CD352">
        <v>1</v>
      </c>
      <c r="CE352">
        <v>0</v>
      </c>
      <c r="CF352">
        <v>0</v>
      </c>
      <c r="CG352">
        <v>0</v>
      </c>
      <c r="CH352">
        <v>0</v>
      </c>
      <c r="CI352">
        <v>1</v>
      </c>
      <c r="CJ352">
        <v>3</v>
      </c>
      <c r="CK352">
        <v>0</v>
      </c>
      <c r="CL352">
        <v>6</v>
      </c>
      <c r="CM352">
        <v>15</v>
      </c>
      <c r="CN352">
        <v>13</v>
      </c>
      <c r="CO352">
        <v>0</v>
      </c>
      <c r="CP352">
        <v>1</v>
      </c>
      <c r="CQ352">
        <v>0</v>
      </c>
      <c r="CR352">
        <v>0</v>
      </c>
      <c r="CS352">
        <v>0</v>
      </c>
      <c r="CT352">
        <v>1</v>
      </c>
      <c r="CU352">
        <v>0</v>
      </c>
      <c r="CV352">
        <v>0</v>
      </c>
      <c r="CW352">
        <v>0</v>
      </c>
      <c r="CX352">
        <v>15</v>
      </c>
      <c r="CY352">
        <v>26</v>
      </c>
      <c r="CZ352">
        <v>17</v>
      </c>
      <c r="DA352">
        <v>2</v>
      </c>
      <c r="DB352">
        <v>0</v>
      </c>
      <c r="DC352">
        <v>0</v>
      </c>
      <c r="DD352">
        <v>3</v>
      </c>
      <c r="DE352">
        <v>1</v>
      </c>
      <c r="DF352">
        <v>0</v>
      </c>
      <c r="DG352">
        <v>1</v>
      </c>
      <c r="DH352">
        <v>1</v>
      </c>
      <c r="DI352">
        <v>1</v>
      </c>
      <c r="DJ352">
        <v>26</v>
      </c>
      <c r="DK352">
        <v>89</v>
      </c>
      <c r="DL352">
        <v>50</v>
      </c>
      <c r="DM352">
        <v>28</v>
      </c>
      <c r="DN352">
        <v>0</v>
      </c>
      <c r="DO352">
        <v>4</v>
      </c>
      <c r="DP352">
        <v>1</v>
      </c>
      <c r="DQ352">
        <v>0</v>
      </c>
      <c r="DR352">
        <v>3</v>
      </c>
      <c r="DS352">
        <v>2</v>
      </c>
      <c r="DT352">
        <v>0</v>
      </c>
      <c r="DU352">
        <v>1</v>
      </c>
      <c r="DV352">
        <v>89</v>
      </c>
      <c r="DW352">
        <v>7</v>
      </c>
      <c r="DX352">
        <v>3</v>
      </c>
      <c r="DY352">
        <v>2</v>
      </c>
      <c r="DZ352">
        <v>0</v>
      </c>
      <c r="EA352">
        <v>0</v>
      </c>
      <c r="EB352">
        <v>0</v>
      </c>
      <c r="EC352">
        <v>1</v>
      </c>
      <c r="ED352">
        <v>1</v>
      </c>
      <c r="EE352">
        <v>0</v>
      </c>
      <c r="EF352">
        <v>0</v>
      </c>
      <c r="EG352">
        <v>0</v>
      </c>
      <c r="EH352">
        <v>7</v>
      </c>
      <c r="EI352">
        <v>1</v>
      </c>
      <c r="EJ352">
        <v>0</v>
      </c>
      <c r="EK352">
        <v>1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1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1</v>
      </c>
      <c r="FF352">
        <v>0</v>
      </c>
      <c r="FG352">
        <v>1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1</v>
      </c>
    </row>
    <row r="353" spans="1:172" ht="14.25">
      <c r="A353">
        <v>348</v>
      </c>
      <c r="B353" t="str">
        <f t="shared" si="67"/>
        <v>101901</v>
      </c>
      <c r="C353" t="str">
        <f t="shared" si="68"/>
        <v>m. Zduńska Wola</v>
      </c>
      <c r="D353" t="str">
        <f t="shared" si="69"/>
        <v>zduńskowolski</v>
      </c>
      <c r="E353" t="str">
        <f t="shared" si="64"/>
        <v>łódzkie</v>
      </c>
      <c r="F353">
        <v>10</v>
      </c>
      <c r="G353" t="str">
        <f>"Publiczne Gimnazjium nr 5, Wileńska 3, 98-220 Zduńska Wola"</f>
        <v>Publiczne Gimnazjium nr 5, Wileńska 3, 98-220 Zduńska Wola</v>
      </c>
      <c r="H353">
        <v>1646</v>
      </c>
      <c r="I353">
        <v>1646</v>
      </c>
      <c r="J353">
        <v>0</v>
      </c>
      <c r="K353">
        <v>1170</v>
      </c>
      <c r="L353">
        <v>782</v>
      </c>
      <c r="M353">
        <v>388</v>
      </c>
      <c r="N353">
        <v>388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388</v>
      </c>
      <c r="Z353">
        <v>0</v>
      </c>
      <c r="AA353">
        <v>0</v>
      </c>
      <c r="AB353">
        <v>388</v>
      </c>
      <c r="AC353">
        <v>15</v>
      </c>
      <c r="AD353">
        <v>373</v>
      </c>
      <c r="AE353">
        <v>8</v>
      </c>
      <c r="AF353">
        <v>1</v>
      </c>
      <c r="AG353">
        <v>1</v>
      </c>
      <c r="AH353">
        <v>1</v>
      </c>
      <c r="AI353">
        <v>0</v>
      </c>
      <c r="AJ353">
        <v>0</v>
      </c>
      <c r="AK353">
        <v>1</v>
      </c>
      <c r="AL353">
        <v>2</v>
      </c>
      <c r="AM353">
        <v>0</v>
      </c>
      <c r="AN353">
        <v>2</v>
      </c>
      <c r="AO353">
        <v>0</v>
      </c>
      <c r="AP353">
        <v>8</v>
      </c>
      <c r="AQ353">
        <v>1</v>
      </c>
      <c r="AR353">
        <v>0</v>
      </c>
      <c r="AS353">
        <v>1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1</v>
      </c>
      <c r="BC353">
        <v>42</v>
      </c>
      <c r="BD353">
        <v>12</v>
      </c>
      <c r="BE353">
        <v>2</v>
      </c>
      <c r="BF353">
        <v>6</v>
      </c>
      <c r="BG353">
        <v>17</v>
      </c>
      <c r="BH353">
        <v>2</v>
      </c>
      <c r="BI353">
        <v>0</v>
      </c>
      <c r="BJ353">
        <v>0</v>
      </c>
      <c r="BK353">
        <v>2</v>
      </c>
      <c r="BL353">
        <v>0</v>
      </c>
      <c r="BM353">
        <v>1</v>
      </c>
      <c r="BN353">
        <v>42</v>
      </c>
      <c r="BO353">
        <v>126</v>
      </c>
      <c r="BP353">
        <v>84</v>
      </c>
      <c r="BQ353">
        <v>11</v>
      </c>
      <c r="BR353">
        <v>8</v>
      </c>
      <c r="BS353">
        <v>14</v>
      </c>
      <c r="BT353">
        <v>0</v>
      </c>
      <c r="BU353">
        <v>0</v>
      </c>
      <c r="BV353">
        <v>3</v>
      </c>
      <c r="BW353">
        <v>0</v>
      </c>
      <c r="BX353">
        <v>0</v>
      </c>
      <c r="BY353">
        <v>6</v>
      </c>
      <c r="BZ353">
        <v>126</v>
      </c>
      <c r="CA353">
        <v>11</v>
      </c>
      <c r="CB353">
        <v>1</v>
      </c>
      <c r="CC353">
        <v>7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2</v>
      </c>
      <c r="CJ353">
        <v>1</v>
      </c>
      <c r="CK353">
        <v>0</v>
      </c>
      <c r="CL353">
        <v>11</v>
      </c>
      <c r="CM353">
        <v>12</v>
      </c>
      <c r="CN353">
        <v>10</v>
      </c>
      <c r="CO353">
        <v>2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12</v>
      </c>
      <c r="CY353">
        <v>26</v>
      </c>
      <c r="CZ353">
        <v>11</v>
      </c>
      <c r="DA353">
        <v>3</v>
      </c>
      <c r="DB353">
        <v>0</v>
      </c>
      <c r="DC353">
        <v>3</v>
      </c>
      <c r="DD353">
        <v>2</v>
      </c>
      <c r="DE353">
        <v>1</v>
      </c>
      <c r="DF353">
        <v>1</v>
      </c>
      <c r="DG353">
        <v>3</v>
      </c>
      <c r="DH353">
        <v>1</v>
      </c>
      <c r="DI353">
        <v>1</v>
      </c>
      <c r="DJ353">
        <v>26</v>
      </c>
      <c r="DK353">
        <v>135</v>
      </c>
      <c r="DL353">
        <v>80</v>
      </c>
      <c r="DM353">
        <v>32</v>
      </c>
      <c r="DN353">
        <v>1</v>
      </c>
      <c r="DO353">
        <v>15</v>
      </c>
      <c r="DP353">
        <v>0</v>
      </c>
      <c r="DQ353">
        <v>0</v>
      </c>
      <c r="DR353">
        <v>2</v>
      </c>
      <c r="DS353">
        <v>1</v>
      </c>
      <c r="DT353">
        <v>2</v>
      </c>
      <c r="DU353">
        <v>2</v>
      </c>
      <c r="DV353">
        <v>135</v>
      </c>
      <c r="DW353">
        <v>6</v>
      </c>
      <c r="DX353">
        <v>4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2</v>
      </c>
      <c r="EE353">
        <v>0</v>
      </c>
      <c r="EF353">
        <v>0</v>
      </c>
      <c r="EG353">
        <v>0</v>
      </c>
      <c r="EH353">
        <v>6</v>
      </c>
      <c r="EI353">
        <v>1</v>
      </c>
      <c r="EJ353">
        <v>0</v>
      </c>
      <c r="EK353">
        <v>1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1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5</v>
      </c>
      <c r="FF353">
        <v>0</v>
      </c>
      <c r="FG353">
        <v>1</v>
      </c>
      <c r="FH353">
        <v>0</v>
      </c>
      <c r="FI353">
        <v>1</v>
      </c>
      <c r="FJ353">
        <v>0</v>
      </c>
      <c r="FK353">
        <v>1</v>
      </c>
      <c r="FL353">
        <v>1</v>
      </c>
      <c r="FM353">
        <v>1</v>
      </c>
      <c r="FN353">
        <v>0</v>
      </c>
      <c r="FO353">
        <v>0</v>
      </c>
      <c r="FP353">
        <v>5</v>
      </c>
    </row>
    <row r="354" spans="1:172" ht="14.25">
      <c r="A354">
        <v>349</v>
      </c>
      <c r="B354" t="str">
        <f t="shared" si="67"/>
        <v>101901</v>
      </c>
      <c r="C354" t="str">
        <f t="shared" si="68"/>
        <v>m. Zduńska Wola</v>
      </c>
      <c r="D354" t="str">
        <f t="shared" si="69"/>
        <v>zduńskowolski</v>
      </c>
      <c r="E354" t="str">
        <f t="shared" si="64"/>
        <v>łódzkie</v>
      </c>
      <c r="F354">
        <v>11</v>
      </c>
      <c r="G354" t="str">
        <f>"Publiczne Przedszkole nr 2, Getta Żydowskiego 17 a, 98-220 Zduńska Wola"</f>
        <v>Publiczne Przedszkole nr 2, Getta Żydowskiego 17 a, 98-220 Zduńska Wola</v>
      </c>
      <c r="H354">
        <v>1735</v>
      </c>
      <c r="I354">
        <v>1735</v>
      </c>
      <c r="J354">
        <v>0</v>
      </c>
      <c r="K354">
        <v>1220</v>
      </c>
      <c r="L354">
        <v>796</v>
      </c>
      <c r="M354">
        <v>424</v>
      </c>
      <c r="N354">
        <v>424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424</v>
      </c>
      <c r="Z354">
        <v>0</v>
      </c>
      <c r="AA354">
        <v>0</v>
      </c>
      <c r="AB354">
        <v>424</v>
      </c>
      <c r="AC354">
        <v>13</v>
      </c>
      <c r="AD354">
        <v>411</v>
      </c>
      <c r="AE354">
        <v>9</v>
      </c>
      <c r="AF354">
        <v>3</v>
      </c>
      <c r="AG354">
        <v>3</v>
      </c>
      <c r="AH354">
        <v>1</v>
      </c>
      <c r="AI354">
        <v>1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1</v>
      </c>
      <c r="AP354">
        <v>9</v>
      </c>
      <c r="AQ354">
        <v>4</v>
      </c>
      <c r="AR354">
        <v>1</v>
      </c>
      <c r="AS354">
        <v>0</v>
      </c>
      <c r="AT354">
        <v>1</v>
      </c>
      <c r="AU354">
        <v>0</v>
      </c>
      <c r="AV354">
        <v>1</v>
      </c>
      <c r="AW354">
        <v>0</v>
      </c>
      <c r="AX354">
        <v>1</v>
      </c>
      <c r="AY354">
        <v>0</v>
      </c>
      <c r="AZ354">
        <v>0</v>
      </c>
      <c r="BA354">
        <v>0</v>
      </c>
      <c r="BB354">
        <v>4</v>
      </c>
      <c r="BC354">
        <v>51</v>
      </c>
      <c r="BD354">
        <v>15</v>
      </c>
      <c r="BE354">
        <v>6</v>
      </c>
      <c r="BF354">
        <v>7</v>
      </c>
      <c r="BG354">
        <v>21</v>
      </c>
      <c r="BH354">
        <v>0</v>
      </c>
      <c r="BI354">
        <v>0</v>
      </c>
      <c r="BJ354">
        <v>0</v>
      </c>
      <c r="BK354">
        <v>0</v>
      </c>
      <c r="BL354">
        <v>2</v>
      </c>
      <c r="BM354">
        <v>0</v>
      </c>
      <c r="BN354">
        <v>51</v>
      </c>
      <c r="BO354">
        <v>140</v>
      </c>
      <c r="BP354">
        <v>115</v>
      </c>
      <c r="BQ354">
        <v>10</v>
      </c>
      <c r="BR354">
        <v>6</v>
      </c>
      <c r="BS354">
        <v>8</v>
      </c>
      <c r="BT354">
        <v>0</v>
      </c>
      <c r="BU354">
        <v>0</v>
      </c>
      <c r="BV354">
        <v>0</v>
      </c>
      <c r="BW354">
        <v>1</v>
      </c>
      <c r="BX354">
        <v>0</v>
      </c>
      <c r="BY354">
        <v>0</v>
      </c>
      <c r="BZ354">
        <v>140</v>
      </c>
      <c r="CA354">
        <v>12</v>
      </c>
      <c r="CB354">
        <v>8</v>
      </c>
      <c r="CC354">
        <v>2</v>
      </c>
      <c r="CD354">
        <v>1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1</v>
      </c>
      <c r="CL354">
        <v>12</v>
      </c>
      <c r="CM354">
        <v>6</v>
      </c>
      <c r="CN354">
        <v>3</v>
      </c>
      <c r="CO354">
        <v>1</v>
      </c>
      <c r="CP354">
        <v>0</v>
      </c>
      <c r="CQ354">
        <v>1</v>
      </c>
      <c r="CR354">
        <v>0</v>
      </c>
      <c r="CS354">
        <v>1</v>
      </c>
      <c r="CT354">
        <v>0</v>
      </c>
      <c r="CU354">
        <v>0</v>
      </c>
      <c r="CV354">
        <v>0</v>
      </c>
      <c r="CW354">
        <v>0</v>
      </c>
      <c r="CX354">
        <v>6</v>
      </c>
      <c r="CY354">
        <v>23</v>
      </c>
      <c r="CZ354">
        <v>12</v>
      </c>
      <c r="DA354">
        <v>3</v>
      </c>
      <c r="DB354">
        <v>0</v>
      </c>
      <c r="DC354">
        <v>2</v>
      </c>
      <c r="DD354">
        <v>2</v>
      </c>
      <c r="DE354">
        <v>1</v>
      </c>
      <c r="DF354">
        <v>0</v>
      </c>
      <c r="DG354">
        <v>0</v>
      </c>
      <c r="DH354">
        <v>2</v>
      </c>
      <c r="DI354">
        <v>1</v>
      </c>
      <c r="DJ354">
        <v>23</v>
      </c>
      <c r="DK354">
        <v>152</v>
      </c>
      <c r="DL354">
        <v>107</v>
      </c>
      <c r="DM354">
        <v>31</v>
      </c>
      <c r="DN354">
        <v>2</v>
      </c>
      <c r="DO354">
        <v>8</v>
      </c>
      <c r="DP354">
        <v>1</v>
      </c>
      <c r="DQ354">
        <v>0</v>
      </c>
      <c r="DR354">
        <v>0</v>
      </c>
      <c r="DS354">
        <v>1</v>
      </c>
      <c r="DT354">
        <v>2</v>
      </c>
      <c r="DU354">
        <v>0</v>
      </c>
      <c r="DV354">
        <v>152</v>
      </c>
      <c r="DW354">
        <v>12</v>
      </c>
      <c r="DX354">
        <v>4</v>
      </c>
      <c r="DY354">
        <v>0</v>
      </c>
      <c r="DZ354">
        <v>2</v>
      </c>
      <c r="EA354">
        <v>0</v>
      </c>
      <c r="EB354">
        <v>0</v>
      </c>
      <c r="EC354">
        <v>1</v>
      </c>
      <c r="ED354">
        <v>1</v>
      </c>
      <c r="EE354">
        <v>1</v>
      </c>
      <c r="EF354">
        <v>0</v>
      </c>
      <c r="EG354">
        <v>3</v>
      </c>
      <c r="EH354">
        <v>12</v>
      </c>
      <c r="EI354">
        <v>1</v>
      </c>
      <c r="EJ354">
        <v>0</v>
      </c>
      <c r="EK354">
        <v>1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1</v>
      </c>
      <c r="ES354">
        <v>1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1</v>
      </c>
      <c r="EZ354">
        <v>0</v>
      </c>
      <c r="FA354">
        <v>0</v>
      </c>
      <c r="FB354">
        <v>0</v>
      </c>
      <c r="FC354">
        <v>0</v>
      </c>
      <c r="FD354">
        <v>1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</row>
    <row r="355" spans="1:172" ht="14.25">
      <c r="A355">
        <v>350</v>
      </c>
      <c r="B355" t="str">
        <f t="shared" si="67"/>
        <v>101901</v>
      </c>
      <c r="C355" t="str">
        <f t="shared" si="68"/>
        <v>m. Zduńska Wola</v>
      </c>
      <c r="D355" t="str">
        <f t="shared" si="69"/>
        <v>zduńskowolski</v>
      </c>
      <c r="E355" t="str">
        <f t="shared" si="64"/>
        <v>łódzkie</v>
      </c>
      <c r="F355">
        <v>12</v>
      </c>
      <c r="G355" t="str">
        <f>"Szkoła Podstawowa Nr 7, Wodna 32, 98-220 Zduńska Wola"</f>
        <v>Szkoła Podstawowa Nr 7, Wodna 32, 98-220 Zduńska Wola</v>
      </c>
      <c r="H355">
        <v>1548</v>
      </c>
      <c r="I355">
        <v>1548</v>
      </c>
      <c r="J355">
        <v>0</v>
      </c>
      <c r="K355">
        <v>1100</v>
      </c>
      <c r="L355">
        <v>703</v>
      </c>
      <c r="M355">
        <v>397</v>
      </c>
      <c r="N355">
        <v>397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397</v>
      </c>
      <c r="Z355">
        <v>0</v>
      </c>
      <c r="AA355">
        <v>0</v>
      </c>
      <c r="AB355">
        <v>397</v>
      </c>
      <c r="AC355">
        <v>7</v>
      </c>
      <c r="AD355">
        <v>390</v>
      </c>
      <c r="AE355">
        <v>9</v>
      </c>
      <c r="AF355">
        <v>8</v>
      </c>
      <c r="AG355">
        <v>1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9</v>
      </c>
      <c r="AQ355">
        <v>1</v>
      </c>
      <c r="AR355">
        <v>1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1</v>
      </c>
      <c r="BC355">
        <v>28</v>
      </c>
      <c r="BD355">
        <v>12</v>
      </c>
      <c r="BE355">
        <v>0</v>
      </c>
      <c r="BF355">
        <v>2</v>
      </c>
      <c r="BG355">
        <v>11</v>
      </c>
      <c r="BH355">
        <v>0</v>
      </c>
      <c r="BI355">
        <v>1</v>
      </c>
      <c r="BJ355">
        <v>0</v>
      </c>
      <c r="BK355">
        <v>0</v>
      </c>
      <c r="BL355">
        <v>1</v>
      </c>
      <c r="BM355">
        <v>1</v>
      </c>
      <c r="BN355">
        <v>28</v>
      </c>
      <c r="BO355">
        <v>147</v>
      </c>
      <c r="BP355">
        <v>104</v>
      </c>
      <c r="BQ355">
        <v>6</v>
      </c>
      <c r="BR355">
        <v>9</v>
      </c>
      <c r="BS355">
        <v>17</v>
      </c>
      <c r="BT355">
        <v>1</v>
      </c>
      <c r="BU355">
        <v>1</v>
      </c>
      <c r="BV355">
        <v>3</v>
      </c>
      <c r="BW355">
        <v>2</v>
      </c>
      <c r="BX355">
        <v>2</v>
      </c>
      <c r="BY355">
        <v>2</v>
      </c>
      <c r="BZ355">
        <v>147</v>
      </c>
      <c r="CA355">
        <v>15</v>
      </c>
      <c r="CB355">
        <v>3</v>
      </c>
      <c r="CC355">
        <v>2</v>
      </c>
      <c r="CD355">
        <v>2</v>
      </c>
      <c r="CE355">
        <v>0</v>
      </c>
      <c r="CF355">
        <v>2</v>
      </c>
      <c r="CG355">
        <v>1</v>
      </c>
      <c r="CH355">
        <v>0</v>
      </c>
      <c r="CI355">
        <v>3</v>
      </c>
      <c r="CJ355">
        <v>2</v>
      </c>
      <c r="CK355">
        <v>0</v>
      </c>
      <c r="CL355">
        <v>15</v>
      </c>
      <c r="CM355">
        <v>12</v>
      </c>
      <c r="CN355">
        <v>9</v>
      </c>
      <c r="CO355">
        <v>1</v>
      </c>
      <c r="CP355">
        <v>0</v>
      </c>
      <c r="CQ355">
        <v>0</v>
      </c>
      <c r="CR355">
        <v>1</v>
      </c>
      <c r="CS355">
        <v>0</v>
      </c>
      <c r="CT355">
        <v>0</v>
      </c>
      <c r="CU355">
        <v>0</v>
      </c>
      <c r="CV355">
        <v>0</v>
      </c>
      <c r="CW355">
        <v>1</v>
      </c>
      <c r="CX355">
        <v>12</v>
      </c>
      <c r="CY355">
        <v>28</v>
      </c>
      <c r="CZ355">
        <v>19</v>
      </c>
      <c r="DA355">
        <v>0</v>
      </c>
      <c r="DB355">
        <v>1</v>
      </c>
      <c r="DC355">
        <v>0</v>
      </c>
      <c r="DD355">
        <v>0</v>
      </c>
      <c r="DE355">
        <v>1</v>
      </c>
      <c r="DF355">
        <v>0</v>
      </c>
      <c r="DG355">
        <v>0</v>
      </c>
      <c r="DH355">
        <v>3</v>
      </c>
      <c r="DI355">
        <v>4</v>
      </c>
      <c r="DJ355">
        <v>28</v>
      </c>
      <c r="DK355">
        <v>131</v>
      </c>
      <c r="DL355">
        <v>79</v>
      </c>
      <c r="DM355">
        <v>36</v>
      </c>
      <c r="DN355">
        <v>1</v>
      </c>
      <c r="DO355">
        <v>9</v>
      </c>
      <c r="DP355">
        <v>0</v>
      </c>
      <c r="DQ355">
        <v>0</v>
      </c>
      <c r="DR355">
        <v>2</v>
      </c>
      <c r="DS355">
        <v>2</v>
      </c>
      <c r="DT355">
        <v>0</v>
      </c>
      <c r="DU355">
        <v>2</v>
      </c>
      <c r="DV355">
        <v>131</v>
      </c>
      <c r="DW355">
        <v>9</v>
      </c>
      <c r="DX355">
        <v>2</v>
      </c>
      <c r="DY355">
        <v>1</v>
      </c>
      <c r="DZ355">
        <v>0</v>
      </c>
      <c r="EA355">
        <v>0</v>
      </c>
      <c r="EB355">
        <v>0</v>
      </c>
      <c r="EC355">
        <v>0</v>
      </c>
      <c r="ED355">
        <v>4</v>
      </c>
      <c r="EE355">
        <v>0</v>
      </c>
      <c r="EF355">
        <v>2</v>
      </c>
      <c r="EG355">
        <v>0</v>
      </c>
      <c r="EH355">
        <v>9</v>
      </c>
      <c r="EI355">
        <v>6</v>
      </c>
      <c r="EJ355">
        <v>2</v>
      </c>
      <c r="EK355">
        <v>3</v>
      </c>
      <c r="EL355">
        <v>0</v>
      </c>
      <c r="EM355">
        <v>0</v>
      </c>
      <c r="EN355">
        <v>0</v>
      </c>
      <c r="EO355">
        <v>1</v>
      </c>
      <c r="EP355">
        <v>0</v>
      </c>
      <c r="EQ355">
        <v>0</v>
      </c>
      <c r="ER355">
        <v>6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4</v>
      </c>
      <c r="FF355">
        <v>3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1</v>
      </c>
      <c r="FP355">
        <v>4</v>
      </c>
    </row>
    <row r="356" spans="1:172" ht="14.25">
      <c r="A356">
        <v>351</v>
      </c>
      <c r="B356" t="str">
        <f t="shared" si="67"/>
        <v>101901</v>
      </c>
      <c r="C356" t="str">
        <f t="shared" si="68"/>
        <v>m. Zduńska Wola</v>
      </c>
      <c r="D356" t="str">
        <f t="shared" si="69"/>
        <v>zduńskowolski</v>
      </c>
      <c r="E356" t="str">
        <f t="shared" si="64"/>
        <v>łódzkie</v>
      </c>
      <c r="F356">
        <v>13</v>
      </c>
      <c r="G356" t="str">
        <f>"Publiczne Przedszkole nr 3, Szadkowska 22a, 98-220 Zduńska Wola"</f>
        <v>Publiczne Przedszkole nr 3, Szadkowska 22a, 98-220 Zduńska Wola</v>
      </c>
      <c r="H356">
        <v>1764</v>
      </c>
      <c r="I356">
        <v>1764</v>
      </c>
      <c r="J356">
        <v>0</v>
      </c>
      <c r="K356">
        <v>1250</v>
      </c>
      <c r="L356">
        <v>864</v>
      </c>
      <c r="M356">
        <v>386</v>
      </c>
      <c r="N356">
        <v>386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386</v>
      </c>
      <c r="Z356">
        <v>0</v>
      </c>
      <c r="AA356">
        <v>0</v>
      </c>
      <c r="AB356">
        <v>386</v>
      </c>
      <c r="AC356">
        <v>11</v>
      </c>
      <c r="AD356">
        <v>375</v>
      </c>
      <c r="AE356">
        <v>12</v>
      </c>
      <c r="AF356">
        <v>9</v>
      </c>
      <c r="AG356">
        <v>0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v>1</v>
      </c>
      <c r="AN356">
        <v>1</v>
      </c>
      <c r="AO356">
        <v>0</v>
      </c>
      <c r="AP356">
        <v>12</v>
      </c>
      <c r="AQ356">
        <v>6</v>
      </c>
      <c r="AR356">
        <v>3</v>
      </c>
      <c r="AS356">
        <v>0</v>
      </c>
      <c r="AT356">
        <v>0</v>
      </c>
      <c r="AU356">
        <v>1</v>
      </c>
      <c r="AV356">
        <v>0</v>
      </c>
      <c r="AW356">
        <v>0</v>
      </c>
      <c r="AX356">
        <v>0</v>
      </c>
      <c r="AY356">
        <v>0</v>
      </c>
      <c r="AZ356">
        <v>2</v>
      </c>
      <c r="BA356">
        <v>0</v>
      </c>
      <c r="BB356">
        <v>6</v>
      </c>
      <c r="BC356">
        <v>66</v>
      </c>
      <c r="BD356">
        <v>37</v>
      </c>
      <c r="BE356">
        <v>4</v>
      </c>
      <c r="BF356">
        <v>5</v>
      </c>
      <c r="BG356">
        <v>20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66</v>
      </c>
      <c r="BO356">
        <v>115</v>
      </c>
      <c r="BP356">
        <v>82</v>
      </c>
      <c r="BQ356">
        <v>6</v>
      </c>
      <c r="BR356">
        <v>6</v>
      </c>
      <c r="BS356">
        <v>11</v>
      </c>
      <c r="BT356">
        <v>2</v>
      </c>
      <c r="BU356">
        <v>0</v>
      </c>
      <c r="BV356">
        <v>1</v>
      </c>
      <c r="BW356">
        <v>0</v>
      </c>
      <c r="BX356">
        <v>2</v>
      </c>
      <c r="BY356">
        <v>5</v>
      </c>
      <c r="BZ356">
        <v>115</v>
      </c>
      <c r="CA356">
        <v>6</v>
      </c>
      <c r="CB356">
        <v>1</v>
      </c>
      <c r="CC356">
        <v>3</v>
      </c>
      <c r="CD356">
        <v>0</v>
      </c>
      <c r="CE356">
        <v>0</v>
      </c>
      <c r="CF356">
        <v>0</v>
      </c>
      <c r="CG356">
        <v>1</v>
      </c>
      <c r="CH356">
        <v>0</v>
      </c>
      <c r="CI356">
        <v>0</v>
      </c>
      <c r="CJ356">
        <v>0</v>
      </c>
      <c r="CK356">
        <v>1</v>
      </c>
      <c r="CL356">
        <v>6</v>
      </c>
      <c r="CM356">
        <v>9</v>
      </c>
      <c r="CN356">
        <v>8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1</v>
      </c>
      <c r="CU356">
        <v>0</v>
      </c>
      <c r="CV356">
        <v>0</v>
      </c>
      <c r="CW356">
        <v>0</v>
      </c>
      <c r="CX356">
        <v>9</v>
      </c>
      <c r="CY356">
        <v>22</v>
      </c>
      <c r="CZ356">
        <v>18</v>
      </c>
      <c r="DA356">
        <v>0</v>
      </c>
      <c r="DB356">
        <v>0</v>
      </c>
      <c r="DC356">
        <v>0</v>
      </c>
      <c r="DD356">
        <v>0</v>
      </c>
      <c r="DE356">
        <v>1</v>
      </c>
      <c r="DF356">
        <v>1</v>
      </c>
      <c r="DG356">
        <v>1</v>
      </c>
      <c r="DH356">
        <v>0</v>
      </c>
      <c r="DI356">
        <v>1</v>
      </c>
      <c r="DJ356">
        <v>22</v>
      </c>
      <c r="DK356">
        <v>120</v>
      </c>
      <c r="DL356">
        <v>74</v>
      </c>
      <c r="DM356">
        <v>28</v>
      </c>
      <c r="DN356">
        <v>1</v>
      </c>
      <c r="DO356">
        <v>6</v>
      </c>
      <c r="DP356">
        <v>2</v>
      </c>
      <c r="DQ356">
        <v>2</v>
      </c>
      <c r="DR356">
        <v>0</v>
      </c>
      <c r="DS356">
        <v>4</v>
      </c>
      <c r="DT356">
        <v>2</v>
      </c>
      <c r="DU356">
        <v>1</v>
      </c>
      <c r="DV356">
        <v>120</v>
      </c>
      <c r="DW356">
        <v>5</v>
      </c>
      <c r="DX356">
        <v>4</v>
      </c>
      <c r="DY356">
        <v>1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5</v>
      </c>
      <c r="EI356">
        <v>8</v>
      </c>
      <c r="EJ356">
        <v>3</v>
      </c>
      <c r="EK356">
        <v>4</v>
      </c>
      <c r="EL356">
        <v>0</v>
      </c>
      <c r="EM356">
        <v>0</v>
      </c>
      <c r="EN356">
        <v>0</v>
      </c>
      <c r="EO356">
        <v>0</v>
      </c>
      <c r="EP356">
        <v>1</v>
      </c>
      <c r="EQ356">
        <v>0</v>
      </c>
      <c r="ER356">
        <v>8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6</v>
      </c>
      <c r="FF356">
        <v>1</v>
      </c>
      <c r="FG356">
        <v>0</v>
      </c>
      <c r="FH356">
        <v>0</v>
      </c>
      <c r="FI356">
        <v>1</v>
      </c>
      <c r="FJ356">
        <v>1</v>
      </c>
      <c r="FK356">
        <v>0</v>
      </c>
      <c r="FL356">
        <v>0</v>
      </c>
      <c r="FM356">
        <v>1</v>
      </c>
      <c r="FN356">
        <v>0</v>
      </c>
      <c r="FO356">
        <v>2</v>
      </c>
      <c r="FP356">
        <v>6</v>
      </c>
    </row>
    <row r="357" spans="1:172" ht="14.25">
      <c r="A357">
        <v>352</v>
      </c>
      <c r="B357" t="str">
        <f t="shared" si="67"/>
        <v>101901</v>
      </c>
      <c r="C357" t="str">
        <f t="shared" si="68"/>
        <v>m. Zduńska Wola</v>
      </c>
      <c r="D357" t="str">
        <f t="shared" si="69"/>
        <v>zduńskowolski</v>
      </c>
      <c r="E357" t="str">
        <f t="shared" si="64"/>
        <v>łódzkie</v>
      </c>
      <c r="F357">
        <v>14</v>
      </c>
      <c r="G357" t="str">
        <f>"Zespół Szkół nr 1 z Oddziałami Integracyjnymi- Szkoła Podstawowa nr 9 z Oddziałami Integracyjnymi, Kilińskiego 27, 98-220 Zduńska Wola"</f>
        <v>Zespół Szkół nr 1 z Oddziałami Integracyjnymi- Szkoła Podstawowa nr 9 z Oddziałami Integracyjnymi, Kilińskiego 27, 98-220 Zduńska Wola</v>
      </c>
      <c r="H357">
        <v>1568</v>
      </c>
      <c r="I357">
        <v>1568</v>
      </c>
      <c r="J357">
        <v>0</v>
      </c>
      <c r="K357">
        <v>1110</v>
      </c>
      <c r="L357">
        <v>697</v>
      </c>
      <c r="M357">
        <v>413</v>
      </c>
      <c r="N357">
        <v>413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413</v>
      </c>
      <c r="Z357">
        <v>0</v>
      </c>
      <c r="AA357">
        <v>0</v>
      </c>
      <c r="AB357">
        <v>413</v>
      </c>
      <c r="AC357">
        <v>13</v>
      </c>
      <c r="AD357">
        <v>400</v>
      </c>
      <c r="AE357">
        <v>7</v>
      </c>
      <c r="AF357">
        <v>5</v>
      </c>
      <c r="AG357">
        <v>1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1</v>
      </c>
      <c r="AN357">
        <v>0</v>
      </c>
      <c r="AO357">
        <v>0</v>
      </c>
      <c r="AP357">
        <v>7</v>
      </c>
      <c r="AQ357">
        <v>2</v>
      </c>
      <c r="AR357">
        <v>1</v>
      </c>
      <c r="AS357">
        <v>0</v>
      </c>
      <c r="AT357">
        <v>0</v>
      </c>
      <c r="AU357">
        <v>0</v>
      </c>
      <c r="AV357">
        <v>1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2</v>
      </c>
      <c r="BC357">
        <v>47</v>
      </c>
      <c r="BD357">
        <v>21</v>
      </c>
      <c r="BE357">
        <v>1</v>
      </c>
      <c r="BF357">
        <v>1</v>
      </c>
      <c r="BG357">
        <v>23</v>
      </c>
      <c r="BH357">
        <v>0</v>
      </c>
      <c r="BI357">
        <v>1</v>
      </c>
      <c r="BJ357">
        <v>0</v>
      </c>
      <c r="BK357">
        <v>0</v>
      </c>
      <c r="BL357">
        <v>0</v>
      </c>
      <c r="BM357">
        <v>0</v>
      </c>
      <c r="BN357">
        <v>47</v>
      </c>
      <c r="BO357">
        <v>132</v>
      </c>
      <c r="BP357">
        <v>110</v>
      </c>
      <c r="BQ357">
        <v>4</v>
      </c>
      <c r="BR357">
        <v>6</v>
      </c>
      <c r="BS357">
        <v>9</v>
      </c>
      <c r="BT357">
        <v>1</v>
      </c>
      <c r="BU357">
        <v>0</v>
      </c>
      <c r="BV357">
        <v>1</v>
      </c>
      <c r="BW357">
        <v>0</v>
      </c>
      <c r="BX357">
        <v>1</v>
      </c>
      <c r="BY357">
        <v>0</v>
      </c>
      <c r="BZ357">
        <v>132</v>
      </c>
      <c r="CA357">
        <v>16</v>
      </c>
      <c r="CB357">
        <v>6</v>
      </c>
      <c r="CC357">
        <v>2</v>
      </c>
      <c r="CD357">
        <v>2</v>
      </c>
      <c r="CE357">
        <v>0</v>
      </c>
      <c r="CF357">
        <v>1</v>
      </c>
      <c r="CG357">
        <v>2</v>
      </c>
      <c r="CH357">
        <v>0</v>
      </c>
      <c r="CI357">
        <v>0</v>
      </c>
      <c r="CJ357">
        <v>2</v>
      </c>
      <c r="CK357">
        <v>1</v>
      </c>
      <c r="CL357">
        <v>16</v>
      </c>
      <c r="CM357">
        <v>11</v>
      </c>
      <c r="CN357">
        <v>9</v>
      </c>
      <c r="CO357">
        <v>2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11</v>
      </c>
      <c r="CY357">
        <v>33</v>
      </c>
      <c r="CZ357">
        <v>20</v>
      </c>
      <c r="DA357">
        <v>6</v>
      </c>
      <c r="DB357">
        <v>1</v>
      </c>
      <c r="DC357">
        <v>0</v>
      </c>
      <c r="DD357">
        <v>3</v>
      </c>
      <c r="DE357">
        <v>0</v>
      </c>
      <c r="DF357">
        <v>0</v>
      </c>
      <c r="DG357">
        <v>0</v>
      </c>
      <c r="DH357">
        <v>2</v>
      </c>
      <c r="DI357">
        <v>1</v>
      </c>
      <c r="DJ357">
        <v>33</v>
      </c>
      <c r="DK357">
        <v>135</v>
      </c>
      <c r="DL357">
        <v>99</v>
      </c>
      <c r="DM357">
        <v>28</v>
      </c>
      <c r="DN357">
        <v>0</v>
      </c>
      <c r="DO357">
        <v>3</v>
      </c>
      <c r="DP357">
        <v>0</v>
      </c>
      <c r="DQ357">
        <v>0</v>
      </c>
      <c r="DR357">
        <v>0</v>
      </c>
      <c r="DS357">
        <v>0</v>
      </c>
      <c r="DT357">
        <v>1</v>
      </c>
      <c r="DU357">
        <v>4</v>
      </c>
      <c r="DV357">
        <v>135</v>
      </c>
      <c r="DW357">
        <v>10</v>
      </c>
      <c r="DX357">
        <v>7</v>
      </c>
      <c r="DY357">
        <v>1</v>
      </c>
      <c r="DZ357">
        <v>0</v>
      </c>
      <c r="EA357">
        <v>1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1</v>
      </c>
      <c r="EH357">
        <v>10</v>
      </c>
      <c r="EI357">
        <v>4</v>
      </c>
      <c r="EJ357">
        <v>1</v>
      </c>
      <c r="EK357">
        <v>2</v>
      </c>
      <c r="EL357">
        <v>1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4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3</v>
      </c>
      <c r="FF357">
        <v>1</v>
      </c>
      <c r="FG357">
        <v>0</v>
      </c>
      <c r="FH357">
        <v>0</v>
      </c>
      <c r="FI357">
        <v>0</v>
      </c>
      <c r="FJ357">
        <v>1</v>
      </c>
      <c r="FK357">
        <v>0</v>
      </c>
      <c r="FL357">
        <v>0</v>
      </c>
      <c r="FM357">
        <v>0</v>
      </c>
      <c r="FN357">
        <v>0</v>
      </c>
      <c r="FO357">
        <v>1</v>
      </c>
      <c r="FP357">
        <v>3</v>
      </c>
    </row>
    <row r="358" spans="1:172" ht="14.25">
      <c r="A358">
        <v>353</v>
      </c>
      <c r="B358" t="str">
        <f t="shared" si="67"/>
        <v>101901</v>
      </c>
      <c r="C358" t="str">
        <f t="shared" si="68"/>
        <v>m. Zduńska Wola</v>
      </c>
      <c r="D358" t="str">
        <f t="shared" si="69"/>
        <v>zduńskowolski</v>
      </c>
      <c r="E358" t="str">
        <f t="shared" si="64"/>
        <v>łódzkie</v>
      </c>
      <c r="F358">
        <v>15</v>
      </c>
      <c r="G358" t="str">
        <f>"Publiczne Przedszkole Nr 6 z Oddziałami Integracyjnymi, Żytnia 19/23, 98-220 Zduńska Wola"</f>
        <v>Publiczne Przedszkole Nr 6 z Oddziałami Integracyjnymi, Żytnia 19/23, 98-220 Zduńska Wola</v>
      </c>
      <c r="H358">
        <v>1628</v>
      </c>
      <c r="I358">
        <v>1628</v>
      </c>
      <c r="J358">
        <v>0</v>
      </c>
      <c r="K358">
        <v>1150</v>
      </c>
      <c r="L358">
        <v>821</v>
      </c>
      <c r="M358">
        <v>329</v>
      </c>
      <c r="N358">
        <v>329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329</v>
      </c>
      <c r="Z358">
        <v>0</v>
      </c>
      <c r="AA358">
        <v>0</v>
      </c>
      <c r="AB358">
        <v>329</v>
      </c>
      <c r="AC358">
        <v>11</v>
      </c>
      <c r="AD358">
        <v>318</v>
      </c>
      <c r="AE358">
        <v>10</v>
      </c>
      <c r="AF358">
        <v>5</v>
      </c>
      <c r="AG358">
        <v>1</v>
      </c>
      <c r="AH358">
        <v>1</v>
      </c>
      <c r="AI358">
        <v>0</v>
      </c>
      <c r="AJ358">
        <v>1</v>
      </c>
      <c r="AK358">
        <v>0</v>
      </c>
      <c r="AL358">
        <v>0</v>
      </c>
      <c r="AM358">
        <v>1</v>
      </c>
      <c r="AN358">
        <v>1</v>
      </c>
      <c r="AO358">
        <v>0</v>
      </c>
      <c r="AP358">
        <v>10</v>
      </c>
      <c r="AQ358">
        <v>3</v>
      </c>
      <c r="AR358">
        <v>3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3</v>
      </c>
      <c r="BC358">
        <v>57</v>
      </c>
      <c r="BD358">
        <v>26</v>
      </c>
      <c r="BE358">
        <v>2</v>
      </c>
      <c r="BF358">
        <v>6</v>
      </c>
      <c r="BG358">
        <v>18</v>
      </c>
      <c r="BH358">
        <v>0</v>
      </c>
      <c r="BI358">
        <v>0</v>
      </c>
      <c r="BJ358">
        <v>2</v>
      </c>
      <c r="BK358">
        <v>0</v>
      </c>
      <c r="BL358">
        <v>0</v>
      </c>
      <c r="BM358">
        <v>3</v>
      </c>
      <c r="BN358">
        <v>57</v>
      </c>
      <c r="BO358">
        <v>113</v>
      </c>
      <c r="BP358">
        <v>78</v>
      </c>
      <c r="BQ358">
        <v>11</v>
      </c>
      <c r="BR358">
        <v>12</v>
      </c>
      <c r="BS358">
        <v>4</v>
      </c>
      <c r="BT358">
        <v>1</v>
      </c>
      <c r="BU358">
        <v>0</v>
      </c>
      <c r="BV358">
        <v>2</v>
      </c>
      <c r="BW358">
        <v>0</v>
      </c>
      <c r="BX358">
        <v>1</v>
      </c>
      <c r="BY358">
        <v>4</v>
      </c>
      <c r="BZ358">
        <v>113</v>
      </c>
      <c r="CA358">
        <v>7</v>
      </c>
      <c r="CB358">
        <v>1</v>
      </c>
      <c r="CC358">
        <v>0</v>
      </c>
      <c r="CD358">
        <v>1</v>
      </c>
      <c r="CE358">
        <v>0</v>
      </c>
      <c r="CF358">
        <v>0</v>
      </c>
      <c r="CG358">
        <v>1</v>
      </c>
      <c r="CH358">
        <v>1</v>
      </c>
      <c r="CI358">
        <v>0</v>
      </c>
      <c r="CJ358">
        <v>2</v>
      </c>
      <c r="CK358">
        <v>1</v>
      </c>
      <c r="CL358">
        <v>7</v>
      </c>
      <c r="CM358">
        <v>2</v>
      </c>
      <c r="CN358">
        <v>2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2</v>
      </c>
      <c r="CY358">
        <v>24</v>
      </c>
      <c r="CZ358">
        <v>16</v>
      </c>
      <c r="DA358">
        <v>0</v>
      </c>
      <c r="DB358">
        <v>1</v>
      </c>
      <c r="DC358">
        <v>0</v>
      </c>
      <c r="DD358">
        <v>3</v>
      </c>
      <c r="DE358">
        <v>0</v>
      </c>
      <c r="DF358">
        <v>0</v>
      </c>
      <c r="DG358">
        <v>1</v>
      </c>
      <c r="DH358">
        <v>2</v>
      </c>
      <c r="DI358">
        <v>1</v>
      </c>
      <c r="DJ358">
        <v>24</v>
      </c>
      <c r="DK358">
        <v>91</v>
      </c>
      <c r="DL358">
        <v>66</v>
      </c>
      <c r="DM358">
        <v>14</v>
      </c>
      <c r="DN358">
        <v>0</v>
      </c>
      <c r="DO358">
        <v>4</v>
      </c>
      <c r="DP358">
        <v>0</v>
      </c>
      <c r="DQ358">
        <v>1</v>
      </c>
      <c r="DR358">
        <v>5</v>
      </c>
      <c r="DS358">
        <v>0</v>
      </c>
      <c r="DT358">
        <v>1</v>
      </c>
      <c r="DU358">
        <v>0</v>
      </c>
      <c r="DV358">
        <v>91</v>
      </c>
      <c r="DW358">
        <v>7</v>
      </c>
      <c r="DX358">
        <v>2</v>
      </c>
      <c r="DY358">
        <v>0</v>
      </c>
      <c r="DZ358">
        <v>0</v>
      </c>
      <c r="EA358">
        <v>1</v>
      </c>
      <c r="EB358">
        <v>0</v>
      </c>
      <c r="EC358">
        <v>1</v>
      </c>
      <c r="ED358">
        <v>2</v>
      </c>
      <c r="EE358">
        <v>0</v>
      </c>
      <c r="EF358">
        <v>1</v>
      </c>
      <c r="EG358">
        <v>0</v>
      </c>
      <c r="EH358">
        <v>7</v>
      </c>
      <c r="EI358">
        <v>4</v>
      </c>
      <c r="EJ358">
        <v>0</v>
      </c>
      <c r="EK358">
        <v>4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4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</row>
    <row r="359" spans="1:172" ht="14.25">
      <c r="A359">
        <v>354</v>
      </c>
      <c r="B359" t="str">
        <f t="shared" si="67"/>
        <v>101901</v>
      </c>
      <c r="C359" t="str">
        <f t="shared" si="68"/>
        <v>m. Zduńska Wola</v>
      </c>
      <c r="D359" t="str">
        <f t="shared" si="69"/>
        <v>zduńskowolski</v>
      </c>
      <c r="E359" t="str">
        <f t="shared" si="64"/>
        <v>łódzkie</v>
      </c>
      <c r="F359">
        <v>16</v>
      </c>
      <c r="G359" t="str">
        <f>"Zespół Szkół Specjalnych, Zielona 59a, 98-220 Zduńska Wola"</f>
        <v>Zespół Szkół Specjalnych, Zielona 59a, 98-220 Zduńska Wola</v>
      </c>
      <c r="H359">
        <v>1859</v>
      </c>
      <c r="I359">
        <v>1859</v>
      </c>
      <c r="J359">
        <v>0</v>
      </c>
      <c r="K359">
        <v>1310</v>
      </c>
      <c r="L359">
        <v>776</v>
      </c>
      <c r="M359">
        <v>534</v>
      </c>
      <c r="N359">
        <v>534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534</v>
      </c>
      <c r="Z359">
        <v>0</v>
      </c>
      <c r="AA359">
        <v>0</v>
      </c>
      <c r="AB359">
        <v>534</v>
      </c>
      <c r="AC359">
        <v>12</v>
      </c>
      <c r="AD359">
        <v>522</v>
      </c>
      <c r="AE359">
        <v>23</v>
      </c>
      <c r="AF359">
        <v>6</v>
      </c>
      <c r="AG359">
        <v>4</v>
      </c>
      <c r="AH359">
        <v>1</v>
      </c>
      <c r="AI359">
        <v>3</v>
      </c>
      <c r="AJ359">
        <v>1</v>
      </c>
      <c r="AK359">
        <v>0</v>
      </c>
      <c r="AL359">
        <v>2</v>
      </c>
      <c r="AM359">
        <v>4</v>
      </c>
      <c r="AN359">
        <v>1</v>
      </c>
      <c r="AO359">
        <v>1</v>
      </c>
      <c r="AP359">
        <v>23</v>
      </c>
      <c r="AQ359">
        <v>10</v>
      </c>
      <c r="AR359">
        <v>6</v>
      </c>
      <c r="AS359">
        <v>1</v>
      </c>
      <c r="AT359">
        <v>0</v>
      </c>
      <c r="AU359">
        <v>2</v>
      </c>
      <c r="AV359">
        <v>0</v>
      </c>
      <c r="AW359">
        <v>0</v>
      </c>
      <c r="AX359">
        <v>0</v>
      </c>
      <c r="AY359">
        <v>1</v>
      </c>
      <c r="AZ359">
        <v>0</v>
      </c>
      <c r="BA359">
        <v>0</v>
      </c>
      <c r="BB359">
        <v>10</v>
      </c>
      <c r="BC359">
        <v>58</v>
      </c>
      <c r="BD359">
        <v>15</v>
      </c>
      <c r="BE359">
        <v>3</v>
      </c>
      <c r="BF359">
        <v>5</v>
      </c>
      <c r="BG359">
        <v>29</v>
      </c>
      <c r="BH359">
        <v>1</v>
      </c>
      <c r="BI359">
        <v>1</v>
      </c>
      <c r="BJ359">
        <v>0</v>
      </c>
      <c r="BK359">
        <v>0</v>
      </c>
      <c r="BL359">
        <v>1</v>
      </c>
      <c r="BM359">
        <v>3</v>
      </c>
      <c r="BN359">
        <v>58</v>
      </c>
      <c r="BO359">
        <v>177</v>
      </c>
      <c r="BP359">
        <v>129</v>
      </c>
      <c r="BQ359">
        <v>5</v>
      </c>
      <c r="BR359">
        <v>11</v>
      </c>
      <c r="BS359">
        <v>10</v>
      </c>
      <c r="BT359">
        <v>3</v>
      </c>
      <c r="BU359">
        <v>0</v>
      </c>
      <c r="BV359">
        <v>2</v>
      </c>
      <c r="BW359">
        <v>2</v>
      </c>
      <c r="BX359">
        <v>2</v>
      </c>
      <c r="BY359">
        <v>13</v>
      </c>
      <c r="BZ359">
        <v>177</v>
      </c>
      <c r="CA359">
        <v>10</v>
      </c>
      <c r="CB359">
        <v>2</v>
      </c>
      <c r="CC359">
        <v>3</v>
      </c>
      <c r="CD359">
        <v>1</v>
      </c>
      <c r="CE359">
        <v>1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3</v>
      </c>
      <c r="CL359">
        <v>10</v>
      </c>
      <c r="CM359">
        <v>11</v>
      </c>
      <c r="CN359">
        <v>11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11</v>
      </c>
      <c r="CY359">
        <v>23</v>
      </c>
      <c r="CZ359">
        <v>18</v>
      </c>
      <c r="DA359">
        <v>1</v>
      </c>
      <c r="DB359">
        <v>0</v>
      </c>
      <c r="DC359">
        <v>0</v>
      </c>
      <c r="DD359">
        <v>1</v>
      </c>
      <c r="DE359">
        <v>1</v>
      </c>
      <c r="DF359">
        <v>0</v>
      </c>
      <c r="DG359">
        <v>1</v>
      </c>
      <c r="DH359">
        <v>1</v>
      </c>
      <c r="DI359">
        <v>0</v>
      </c>
      <c r="DJ359">
        <v>23</v>
      </c>
      <c r="DK359">
        <v>193</v>
      </c>
      <c r="DL359">
        <v>116</v>
      </c>
      <c r="DM359">
        <v>33</v>
      </c>
      <c r="DN359">
        <v>0</v>
      </c>
      <c r="DO359">
        <v>30</v>
      </c>
      <c r="DP359">
        <v>4</v>
      </c>
      <c r="DQ359">
        <v>0</v>
      </c>
      <c r="DR359">
        <v>1</v>
      </c>
      <c r="DS359">
        <v>2</v>
      </c>
      <c r="DT359">
        <v>3</v>
      </c>
      <c r="DU359">
        <v>4</v>
      </c>
      <c r="DV359">
        <v>193</v>
      </c>
      <c r="DW359">
        <v>11</v>
      </c>
      <c r="DX359">
        <v>7</v>
      </c>
      <c r="DY359">
        <v>1</v>
      </c>
      <c r="DZ359">
        <v>0</v>
      </c>
      <c r="EA359">
        <v>2</v>
      </c>
      <c r="EB359">
        <v>0</v>
      </c>
      <c r="EC359">
        <v>0</v>
      </c>
      <c r="ED359">
        <v>0</v>
      </c>
      <c r="EE359">
        <v>0</v>
      </c>
      <c r="EF359">
        <v>1</v>
      </c>
      <c r="EG359">
        <v>0</v>
      </c>
      <c r="EH359">
        <v>11</v>
      </c>
      <c r="EI359">
        <v>2</v>
      </c>
      <c r="EJ359">
        <v>1</v>
      </c>
      <c r="EK359">
        <v>0</v>
      </c>
      <c r="EL359">
        <v>0</v>
      </c>
      <c r="EM359">
        <v>0</v>
      </c>
      <c r="EN359">
        <v>0</v>
      </c>
      <c r="EO359">
        <v>1</v>
      </c>
      <c r="EP359">
        <v>0</v>
      </c>
      <c r="EQ359">
        <v>0</v>
      </c>
      <c r="ER359">
        <v>2</v>
      </c>
      <c r="ES359">
        <v>1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1</v>
      </c>
      <c r="FD359">
        <v>1</v>
      </c>
      <c r="FE359">
        <v>3</v>
      </c>
      <c r="FF359">
        <v>0</v>
      </c>
      <c r="FG359">
        <v>0</v>
      </c>
      <c r="FH359">
        <v>0</v>
      </c>
      <c r="FI359">
        <v>1</v>
      </c>
      <c r="FJ359">
        <v>0</v>
      </c>
      <c r="FK359">
        <v>0</v>
      </c>
      <c r="FL359">
        <v>1</v>
      </c>
      <c r="FM359">
        <v>1</v>
      </c>
      <c r="FN359">
        <v>0</v>
      </c>
      <c r="FO359">
        <v>0</v>
      </c>
      <c r="FP359">
        <v>3</v>
      </c>
    </row>
    <row r="360" spans="1:172" ht="14.25">
      <c r="A360">
        <v>355</v>
      </c>
      <c r="B360" t="str">
        <f t="shared" si="67"/>
        <v>101901</v>
      </c>
      <c r="C360" t="str">
        <f t="shared" si="68"/>
        <v>m. Zduńska Wola</v>
      </c>
      <c r="D360" t="str">
        <f t="shared" si="69"/>
        <v>zduńskowolski</v>
      </c>
      <c r="E360" t="str">
        <f t="shared" si="64"/>
        <v>łódzkie</v>
      </c>
      <c r="F360">
        <v>17</v>
      </c>
      <c r="G360" t="str">
        <f>"Szkoła Podstawowa nr 2, Spacerowa 90, 98-220 Zduńska Wola"</f>
        <v>Szkoła Podstawowa nr 2, Spacerowa 90, 98-220 Zduńska Wola</v>
      </c>
      <c r="H360">
        <v>1654</v>
      </c>
      <c r="I360">
        <v>1654</v>
      </c>
      <c r="J360">
        <v>0</v>
      </c>
      <c r="K360">
        <v>1160</v>
      </c>
      <c r="L360">
        <v>723</v>
      </c>
      <c r="M360">
        <v>437</v>
      </c>
      <c r="N360">
        <v>437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435</v>
      </c>
      <c r="Z360">
        <v>0</v>
      </c>
      <c r="AA360">
        <v>0</v>
      </c>
      <c r="AB360">
        <v>435</v>
      </c>
      <c r="AC360">
        <v>10</v>
      </c>
      <c r="AD360">
        <v>425</v>
      </c>
      <c r="AE360">
        <v>7</v>
      </c>
      <c r="AF360">
        <v>4</v>
      </c>
      <c r="AG360">
        <v>1</v>
      </c>
      <c r="AH360">
        <v>0</v>
      </c>
      <c r="AI360">
        <v>2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7</v>
      </c>
      <c r="AQ360">
        <v>2</v>
      </c>
      <c r="AR360">
        <v>0</v>
      </c>
      <c r="AS360">
        <v>0</v>
      </c>
      <c r="AT360">
        <v>0</v>
      </c>
      <c r="AU360">
        <v>1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  <c r="BB360">
        <v>2</v>
      </c>
      <c r="BC360">
        <v>65</v>
      </c>
      <c r="BD360">
        <v>24</v>
      </c>
      <c r="BE360">
        <v>3</v>
      </c>
      <c r="BF360">
        <v>5</v>
      </c>
      <c r="BG360">
        <v>21</v>
      </c>
      <c r="BH360">
        <v>1</v>
      </c>
      <c r="BI360">
        <v>3</v>
      </c>
      <c r="BJ360">
        <v>1</v>
      </c>
      <c r="BK360">
        <v>0</v>
      </c>
      <c r="BL360">
        <v>3</v>
      </c>
      <c r="BM360">
        <v>4</v>
      </c>
      <c r="BN360">
        <v>65</v>
      </c>
      <c r="BO360">
        <v>164</v>
      </c>
      <c r="BP360">
        <v>131</v>
      </c>
      <c r="BQ360">
        <v>8</v>
      </c>
      <c r="BR360">
        <v>5</v>
      </c>
      <c r="BS360">
        <v>7</v>
      </c>
      <c r="BT360">
        <v>2</v>
      </c>
      <c r="BU360">
        <v>0</v>
      </c>
      <c r="BV360">
        <v>1</v>
      </c>
      <c r="BW360">
        <v>2</v>
      </c>
      <c r="BX360">
        <v>1</v>
      </c>
      <c r="BY360">
        <v>7</v>
      </c>
      <c r="BZ360">
        <v>164</v>
      </c>
      <c r="CA360">
        <v>11</v>
      </c>
      <c r="CB360">
        <v>4</v>
      </c>
      <c r="CC360">
        <v>0</v>
      </c>
      <c r="CD360">
        <v>1</v>
      </c>
      <c r="CE360">
        <v>2</v>
      </c>
      <c r="CF360">
        <v>0</v>
      </c>
      <c r="CG360">
        <v>0</v>
      </c>
      <c r="CH360">
        <v>1</v>
      </c>
      <c r="CI360">
        <v>1</v>
      </c>
      <c r="CJ360">
        <v>0</v>
      </c>
      <c r="CK360">
        <v>2</v>
      </c>
      <c r="CL360">
        <v>11</v>
      </c>
      <c r="CM360">
        <v>5</v>
      </c>
      <c r="CN360">
        <v>1</v>
      </c>
      <c r="CO360">
        <v>0</v>
      </c>
      <c r="CP360">
        <v>0</v>
      </c>
      <c r="CQ360">
        <v>1</v>
      </c>
      <c r="CR360">
        <v>0</v>
      </c>
      <c r="CS360">
        <v>1</v>
      </c>
      <c r="CT360">
        <v>1</v>
      </c>
      <c r="CU360">
        <v>0</v>
      </c>
      <c r="CV360">
        <v>0</v>
      </c>
      <c r="CW360">
        <v>1</v>
      </c>
      <c r="CX360">
        <v>5</v>
      </c>
      <c r="CY360">
        <v>26</v>
      </c>
      <c r="CZ360">
        <v>18</v>
      </c>
      <c r="DA360">
        <v>4</v>
      </c>
      <c r="DB360">
        <v>0</v>
      </c>
      <c r="DC360">
        <v>2</v>
      </c>
      <c r="DD360">
        <v>0</v>
      </c>
      <c r="DE360">
        <v>0</v>
      </c>
      <c r="DF360">
        <v>1</v>
      </c>
      <c r="DG360">
        <v>1</v>
      </c>
      <c r="DH360">
        <v>0</v>
      </c>
      <c r="DI360">
        <v>0</v>
      </c>
      <c r="DJ360">
        <v>26</v>
      </c>
      <c r="DK360">
        <v>126</v>
      </c>
      <c r="DL360">
        <v>63</v>
      </c>
      <c r="DM360">
        <v>38</v>
      </c>
      <c r="DN360">
        <v>4</v>
      </c>
      <c r="DO360">
        <v>12</v>
      </c>
      <c r="DP360">
        <v>0</v>
      </c>
      <c r="DQ360">
        <v>1</v>
      </c>
      <c r="DR360">
        <v>1</v>
      </c>
      <c r="DS360">
        <v>0</v>
      </c>
      <c r="DT360">
        <v>1</v>
      </c>
      <c r="DU360">
        <v>6</v>
      </c>
      <c r="DV360">
        <v>126</v>
      </c>
      <c r="DW360">
        <v>10</v>
      </c>
      <c r="DX360">
        <v>6</v>
      </c>
      <c r="DY360">
        <v>1</v>
      </c>
      <c r="DZ360">
        <v>0</v>
      </c>
      <c r="EA360">
        <v>1</v>
      </c>
      <c r="EB360">
        <v>0</v>
      </c>
      <c r="EC360">
        <v>0</v>
      </c>
      <c r="ED360">
        <v>2</v>
      </c>
      <c r="EE360">
        <v>0</v>
      </c>
      <c r="EF360">
        <v>0</v>
      </c>
      <c r="EG360">
        <v>0</v>
      </c>
      <c r="EH360">
        <v>10</v>
      </c>
      <c r="EI360">
        <v>4</v>
      </c>
      <c r="EJ360">
        <v>0</v>
      </c>
      <c r="EK360">
        <v>4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4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5</v>
      </c>
      <c r="FF360">
        <v>1</v>
      </c>
      <c r="FG360">
        <v>1</v>
      </c>
      <c r="FH360">
        <v>1</v>
      </c>
      <c r="FI360">
        <v>0</v>
      </c>
      <c r="FJ360">
        <v>1</v>
      </c>
      <c r="FK360">
        <v>0</v>
      </c>
      <c r="FL360">
        <v>0</v>
      </c>
      <c r="FM360">
        <v>0</v>
      </c>
      <c r="FN360">
        <v>0</v>
      </c>
      <c r="FO360">
        <v>1</v>
      </c>
      <c r="FP360">
        <v>5</v>
      </c>
    </row>
    <row r="361" spans="1:172" ht="14.25">
      <c r="A361">
        <v>356</v>
      </c>
      <c r="B361" t="str">
        <f t="shared" si="67"/>
        <v>101901</v>
      </c>
      <c r="C361" t="str">
        <f t="shared" si="68"/>
        <v>m. Zduńska Wola</v>
      </c>
      <c r="D361" t="str">
        <f t="shared" si="69"/>
        <v>zduńskowolski</v>
      </c>
      <c r="E361" t="str">
        <f t="shared" si="64"/>
        <v>łódzkie</v>
      </c>
      <c r="F361">
        <v>18</v>
      </c>
      <c r="G361" t="str">
        <f>"Publiczne Gimnazjum nr 2, Łaska 84, 98-220 Zduńska Wola"</f>
        <v>Publiczne Gimnazjum nr 2, Łaska 84, 98-220 Zduńska Wola</v>
      </c>
      <c r="H361">
        <v>1483</v>
      </c>
      <c r="I361">
        <v>1483</v>
      </c>
      <c r="J361">
        <v>0</v>
      </c>
      <c r="K361">
        <v>1050</v>
      </c>
      <c r="L361">
        <v>713</v>
      </c>
      <c r="M361">
        <v>337</v>
      </c>
      <c r="N361">
        <v>337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337</v>
      </c>
      <c r="Z361">
        <v>0</v>
      </c>
      <c r="AA361">
        <v>0</v>
      </c>
      <c r="AB361">
        <v>337</v>
      </c>
      <c r="AC361">
        <v>1</v>
      </c>
      <c r="AD361">
        <v>336</v>
      </c>
      <c r="AE361">
        <v>7</v>
      </c>
      <c r="AF361">
        <v>4</v>
      </c>
      <c r="AG361">
        <v>0</v>
      </c>
      <c r="AH361">
        <v>2</v>
      </c>
      <c r="AI361">
        <v>0</v>
      </c>
      <c r="AJ361">
        <v>0</v>
      </c>
      <c r="AK361">
        <v>0</v>
      </c>
      <c r="AL361">
        <v>1</v>
      </c>
      <c r="AM361">
        <v>0</v>
      </c>
      <c r="AN361">
        <v>0</v>
      </c>
      <c r="AO361">
        <v>0</v>
      </c>
      <c r="AP361">
        <v>7</v>
      </c>
      <c r="AQ361">
        <v>2</v>
      </c>
      <c r="AR361">
        <v>0</v>
      </c>
      <c r="AS361">
        <v>0</v>
      </c>
      <c r="AT361">
        <v>0</v>
      </c>
      <c r="AU361">
        <v>0</v>
      </c>
      <c r="AV361">
        <v>1</v>
      </c>
      <c r="AW361">
        <v>0</v>
      </c>
      <c r="AX361">
        <v>0</v>
      </c>
      <c r="AY361">
        <v>0</v>
      </c>
      <c r="AZ361">
        <v>0</v>
      </c>
      <c r="BA361">
        <v>1</v>
      </c>
      <c r="BB361">
        <v>2</v>
      </c>
      <c r="BC361">
        <v>28</v>
      </c>
      <c r="BD361">
        <v>11</v>
      </c>
      <c r="BE361">
        <v>2</v>
      </c>
      <c r="BF361">
        <v>8</v>
      </c>
      <c r="BG361">
        <v>6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1</v>
      </c>
      <c r="BN361">
        <v>28</v>
      </c>
      <c r="BO361">
        <v>138</v>
      </c>
      <c r="BP361">
        <v>99</v>
      </c>
      <c r="BQ361">
        <v>10</v>
      </c>
      <c r="BR361">
        <v>6</v>
      </c>
      <c r="BS361">
        <v>12</v>
      </c>
      <c r="BT361">
        <v>0</v>
      </c>
      <c r="BU361">
        <v>0</v>
      </c>
      <c r="BV361">
        <v>2</v>
      </c>
      <c r="BW361">
        <v>0</v>
      </c>
      <c r="BX361">
        <v>3</v>
      </c>
      <c r="BY361">
        <v>6</v>
      </c>
      <c r="BZ361">
        <v>138</v>
      </c>
      <c r="CA361">
        <v>10</v>
      </c>
      <c r="CB361">
        <v>3</v>
      </c>
      <c r="CC361">
        <v>1</v>
      </c>
      <c r="CD361">
        <v>1</v>
      </c>
      <c r="CE361">
        <v>0</v>
      </c>
      <c r="CF361">
        <v>0</v>
      </c>
      <c r="CG361">
        <v>1</v>
      </c>
      <c r="CH361">
        <v>1</v>
      </c>
      <c r="CI361">
        <v>2</v>
      </c>
      <c r="CJ361">
        <v>0</v>
      </c>
      <c r="CK361">
        <v>1</v>
      </c>
      <c r="CL361">
        <v>10</v>
      </c>
      <c r="CM361">
        <v>10</v>
      </c>
      <c r="CN361">
        <v>9</v>
      </c>
      <c r="CO361">
        <v>0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10</v>
      </c>
      <c r="CY361">
        <v>22</v>
      </c>
      <c r="CZ361">
        <v>12</v>
      </c>
      <c r="DA361">
        <v>2</v>
      </c>
      <c r="DB361">
        <v>0</v>
      </c>
      <c r="DC361">
        <v>1</v>
      </c>
      <c r="DD361">
        <v>0</v>
      </c>
      <c r="DE361">
        <v>1</v>
      </c>
      <c r="DF361">
        <v>2</v>
      </c>
      <c r="DG361">
        <v>3</v>
      </c>
      <c r="DH361">
        <v>1</v>
      </c>
      <c r="DI361">
        <v>0</v>
      </c>
      <c r="DJ361">
        <v>22</v>
      </c>
      <c r="DK361">
        <v>105</v>
      </c>
      <c r="DL361">
        <v>67</v>
      </c>
      <c r="DM361">
        <v>18</v>
      </c>
      <c r="DN361">
        <v>1</v>
      </c>
      <c r="DO361">
        <v>6</v>
      </c>
      <c r="DP361">
        <v>1</v>
      </c>
      <c r="DQ361">
        <v>1</v>
      </c>
      <c r="DR361">
        <v>2</v>
      </c>
      <c r="DS361">
        <v>5</v>
      </c>
      <c r="DT361">
        <v>0</v>
      </c>
      <c r="DU361">
        <v>4</v>
      </c>
      <c r="DV361">
        <v>105</v>
      </c>
      <c r="DW361">
        <v>12</v>
      </c>
      <c r="DX361">
        <v>1</v>
      </c>
      <c r="DY361">
        <v>4</v>
      </c>
      <c r="DZ361">
        <v>0</v>
      </c>
      <c r="EA361">
        <v>4</v>
      </c>
      <c r="EB361">
        <v>0</v>
      </c>
      <c r="EC361">
        <v>0</v>
      </c>
      <c r="ED361">
        <v>1</v>
      </c>
      <c r="EE361">
        <v>2</v>
      </c>
      <c r="EF361">
        <v>0</v>
      </c>
      <c r="EG361">
        <v>0</v>
      </c>
      <c r="EH361">
        <v>12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1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1</v>
      </c>
      <c r="FB361">
        <v>0</v>
      </c>
      <c r="FC361">
        <v>0</v>
      </c>
      <c r="FD361">
        <v>1</v>
      </c>
      <c r="FE361">
        <v>1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1</v>
      </c>
      <c r="FL361">
        <v>0</v>
      </c>
      <c r="FM361">
        <v>0</v>
      </c>
      <c r="FN361">
        <v>0</v>
      </c>
      <c r="FO361">
        <v>0</v>
      </c>
      <c r="FP361">
        <v>1</v>
      </c>
    </row>
    <row r="362" spans="1:172" ht="14.25">
      <c r="A362">
        <v>357</v>
      </c>
      <c r="B362" t="str">
        <f t="shared" si="67"/>
        <v>101901</v>
      </c>
      <c r="C362" t="str">
        <f t="shared" si="68"/>
        <v>m. Zduńska Wola</v>
      </c>
      <c r="D362" t="str">
        <f t="shared" si="69"/>
        <v>zduńskowolski</v>
      </c>
      <c r="E362" t="str">
        <f t="shared" si="64"/>
        <v>łódzkie</v>
      </c>
      <c r="F362">
        <v>19</v>
      </c>
      <c r="G362" t="str">
        <f>"Świetlica, Świerkowa 65, 98-220 Zduńska Wola"</f>
        <v>Świetlica, Świerkowa 65, 98-220 Zduńska Wola</v>
      </c>
      <c r="H362">
        <v>1657</v>
      </c>
      <c r="I362">
        <v>1657</v>
      </c>
      <c r="J362">
        <v>0</v>
      </c>
      <c r="K362">
        <v>1160</v>
      </c>
      <c r="L362">
        <v>855</v>
      </c>
      <c r="M362">
        <v>305</v>
      </c>
      <c r="N362">
        <v>305</v>
      </c>
      <c r="O362">
        <v>0</v>
      </c>
      <c r="P362">
        <v>0</v>
      </c>
      <c r="Q362">
        <v>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305</v>
      </c>
      <c r="Z362">
        <v>0</v>
      </c>
      <c r="AA362">
        <v>0</v>
      </c>
      <c r="AB362">
        <v>305</v>
      </c>
      <c r="AC362">
        <v>5</v>
      </c>
      <c r="AD362">
        <v>300</v>
      </c>
      <c r="AE362">
        <v>5</v>
      </c>
      <c r="AF362">
        <v>1</v>
      </c>
      <c r="AG362">
        <v>0</v>
      </c>
      <c r="AH362">
        <v>0</v>
      </c>
      <c r="AI362">
        <v>0</v>
      </c>
      <c r="AJ362">
        <v>0</v>
      </c>
      <c r="AK362">
        <v>1</v>
      </c>
      <c r="AL362">
        <v>1</v>
      </c>
      <c r="AM362">
        <v>0</v>
      </c>
      <c r="AN362">
        <v>0</v>
      </c>
      <c r="AO362">
        <v>2</v>
      </c>
      <c r="AP362">
        <v>5</v>
      </c>
      <c r="AQ362">
        <v>5</v>
      </c>
      <c r="AR362">
        <v>0</v>
      </c>
      <c r="AS362">
        <v>0</v>
      </c>
      <c r="AT362">
        <v>1</v>
      </c>
      <c r="AU362">
        <v>0</v>
      </c>
      <c r="AV362">
        <v>1</v>
      </c>
      <c r="AW362">
        <v>0</v>
      </c>
      <c r="AX362">
        <v>1</v>
      </c>
      <c r="AY362">
        <v>0</v>
      </c>
      <c r="AZ362">
        <v>0</v>
      </c>
      <c r="BA362">
        <v>2</v>
      </c>
      <c r="BB362">
        <v>5</v>
      </c>
      <c r="BC362">
        <v>21</v>
      </c>
      <c r="BD362">
        <v>7</v>
      </c>
      <c r="BE362">
        <v>3</v>
      </c>
      <c r="BF362">
        <v>3</v>
      </c>
      <c r="BG362">
        <v>4</v>
      </c>
      <c r="BH362">
        <v>3</v>
      </c>
      <c r="BI362">
        <v>0</v>
      </c>
      <c r="BJ362">
        <v>0</v>
      </c>
      <c r="BK362">
        <v>0</v>
      </c>
      <c r="BL362">
        <v>0</v>
      </c>
      <c r="BM362">
        <v>1</v>
      </c>
      <c r="BN362">
        <v>21</v>
      </c>
      <c r="BO362">
        <v>131</v>
      </c>
      <c r="BP362">
        <v>91</v>
      </c>
      <c r="BQ362">
        <v>10</v>
      </c>
      <c r="BR362">
        <v>9</v>
      </c>
      <c r="BS362">
        <v>12</v>
      </c>
      <c r="BT362">
        <v>0</v>
      </c>
      <c r="BU362">
        <v>0</v>
      </c>
      <c r="BV362">
        <v>1</v>
      </c>
      <c r="BW362">
        <v>1</v>
      </c>
      <c r="BX362">
        <v>0</v>
      </c>
      <c r="BY362">
        <v>7</v>
      </c>
      <c r="BZ362">
        <v>131</v>
      </c>
      <c r="CA362">
        <v>6</v>
      </c>
      <c r="CB362">
        <v>2</v>
      </c>
      <c r="CC362">
        <v>1</v>
      </c>
      <c r="CD362">
        <v>0</v>
      </c>
      <c r="CE362">
        <v>0</v>
      </c>
      <c r="CF362">
        <v>0</v>
      </c>
      <c r="CG362">
        <v>1</v>
      </c>
      <c r="CH362">
        <v>0</v>
      </c>
      <c r="CI362">
        <v>1</v>
      </c>
      <c r="CJ362">
        <v>1</v>
      </c>
      <c r="CK362">
        <v>0</v>
      </c>
      <c r="CL362">
        <v>6</v>
      </c>
      <c r="CM362">
        <v>10</v>
      </c>
      <c r="CN362">
        <v>6</v>
      </c>
      <c r="CO362">
        <v>0</v>
      </c>
      <c r="CP362">
        <v>0</v>
      </c>
      <c r="CQ362">
        <v>1</v>
      </c>
      <c r="CR362">
        <v>0</v>
      </c>
      <c r="CS362">
        <v>3</v>
      </c>
      <c r="CT362">
        <v>0</v>
      </c>
      <c r="CU362">
        <v>0</v>
      </c>
      <c r="CV362">
        <v>0</v>
      </c>
      <c r="CW362">
        <v>0</v>
      </c>
      <c r="CX362">
        <v>10</v>
      </c>
      <c r="CY362">
        <v>16</v>
      </c>
      <c r="CZ362">
        <v>10</v>
      </c>
      <c r="DA362">
        <v>2</v>
      </c>
      <c r="DB362">
        <v>1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2</v>
      </c>
      <c r="DI362">
        <v>0</v>
      </c>
      <c r="DJ362">
        <v>16</v>
      </c>
      <c r="DK362">
        <v>98</v>
      </c>
      <c r="DL362">
        <v>57</v>
      </c>
      <c r="DM362">
        <v>29</v>
      </c>
      <c r="DN362">
        <v>0</v>
      </c>
      <c r="DO362">
        <v>7</v>
      </c>
      <c r="DP362">
        <v>0</v>
      </c>
      <c r="DQ362">
        <v>1</v>
      </c>
      <c r="DR362">
        <v>0</v>
      </c>
      <c r="DS362">
        <v>1</v>
      </c>
      <c r="DT362">
        <v>0</v>
      </c>
      <c r="DU362">
        <v>3</v>
      </c>
      <c r="DV362">
        <v>98</v>
      </c>
      <c r="DW362">
        <v>6</v>
      </c>
      <c r="DX362">
        <v>1</v>
      </c>
      <c r="DY362">
        <v>2</v>
      </c>
      <c r="DZ362">
        <v>0</v>
      </c>
      <c r="EA362">
        <v>0</v>
      </c>
      <c r="EB362">
        <v>0</v>
      </c>
      <c r="EC362">
        <v>0</v>
      </c>
      <c r="ED362">
        <v>1</v>
      </c>
      <c r="EE362">
        <v>1</v>
      </c>
      <c r="EF362">
        <v>1</v>
      </c>
      <c r="EG362">
        <v>0</v>
      </c>
      <c r="EH362">
        <v>6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2</v>
      </c>
      <c r="FF362">
        <v>0</v>
      </c>
      <c r="FG362">
        <v>2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2</v>
      </c>
    </row>
    <row r="363" spans="1:172" ht="14.25">
      <c r="A363">
        <v>358</v>
      </c>
      <c r="B363" t="str">
        <f t="shared" si="67"/>
        <v>101901</v>
      </c>
      <c r="C363" t="str">
        <f t="shared" si="68"/>
        <v>m. Zduńska Wola</v>
      </c>
      <c r="D363" t="str">
        <f t="shared" si="69"/>
        <v>zduńskowolski</v>
      </c>
      <c r="E363" t="str">
        <f t="shared" si="64"/>
        <v>łódzkie</v>
      </c>
      <c r="F363">
        <v>20</v>
      </c>
      <c r="G363" t="str">
        <f>"Szkoła Podstawowa nr 13, 1-go Maja 27, 98-220 Zduńska Wola"</f>
        <v>Szkoła Podstawowa nr 13, 1-go Maja 27, 98-220 Zduńska Wola</v>
      </c>
      <c r="H363">
        <v>1697</v>
      </c>
      <c r="I363">
        <v>1697</v>
      </c>
      <c r="J363">
        <v>0</v>
      </c>
      <c r="K363">
        <v>1200</v>
      </c>
      <c r="L363">
        <v>825</v>
      </c>
      <c r="M363">
        <v>375</v>
      </c>
      <c r="N363">
        <v>375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374</v>
      </c>
      <c r="Z363">
        <v>0</v>
      </c>
      <c r="AA363">
        <v>0</v>
      </c>
      <c r="AB363">
        <v>374</v>
      </c>
      <c r="AC363">
        <v>17</v>
      </c>
      <c r="AD363">
        <v>357</v>
      </c>
      <c r="AE363">
        <v>2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1</v>
      </c>
      <c r="AM363">
        <v>0</v>
      </c>
      <c r="AN363">
        <v>1</v>
      </c>
      <c r="AO363">
        <v>0</v>
      </c>
      <c r="AP363">
        <v>2</v>
      </c>
      <c r="AQ363">
        <v>6</v>
      </c>
      <c r="AR363">
        <v>4</v>
      </c>
      <c r="AS363">
        <v>1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6</v>
      </c>
      <c r="BC363">
        <v>33</v>
      </c>
      <c r="BD363">
        <v>5</v>
      </c>
      <c r="BE363">
        <v>2</v>
      </c>
      <c r="BF363">
        <v>19</v>
      </c>
      <c r="BG363">
        <v>3</v>
      </c>
      <c r="BH363">
        <v>0</v>
      </c>
      <c r="BI363">
        <v>1</v>
      </c>
      <c r="BJ363">
        <v>0</v>
      </c>
      <c r="BK363">
        <v>1</v>
      </c>
      <c r="BL363">
        <v>1</v>
      </c>
      <c r="BM363">
        <v>1</v>
      </c>
      <c r="BN363">
        <v>33</v>
      </c>
      <c r="BO363">
        <v>160</v>
      </c>
      <c r="BP363">
        <v>117</v>
      </c>
      <c r="BQ363">
        <v>6</v>
      </c>
      <c r="BR363">
        <v>7</v>
      </c>
      <c r="BS363">
        <v>13</v>
      </c>
      <c r="BT363">
        <v>0</v>
      </c>
      <c r="BU363">
        <v>0</v>
      </c>
      <c r="BV363">
        <v>3</v>
      </c>
      <c r="BW363">
        <v>1</v>
      </c>
      <c r="BX363">
        <v>2</v>
      </c>
      <c r="BY363">
        <v>11</v>
      </c>
      <c r="BZ363">
        <v>160</v>
      </c>
      <c r="CA363">
        <v>8</v>
      </c>
      <c r="CB363">
        <v>2</v>
      </c>
      <c r="CC363">
        <v>3</v>
      </c>
      <c r="CD363">
        <v>1</v>
      </c>
      <c r="CE363">
        <v>0</v>
      </c>
      <c r="CF363">
        <v>2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8</v>
      </c>
      <c r="CM363">
        <v>6</v>
      </c>
      <c r="CN363">
        <v>2</v>
      </c>
      <c r="CO363">
        <v>1</v>
      </c>
      <c r="CP363">
        <v>0</v>
      </c>
      <c r="CQ363">
        <v>0</v>
      </c>
      <c r="CR363">
        <v>2</v>
      </c>
      <c r="CS363">
        <v>0</v>
      </c>
      <c r="CT363">
        <v>0</v>
      </c>
      <c r="CU363">
        <v>0</v>
      </c>
      <c r="CV363">
        <v>0</v>
      </c>
      <c r="CW363">
        <v>1</v>
      </c>
      <c r="CX363">
        <v>6</v>
      </c>
      <c r="CY363">
        <v>23</v>
      </c>
      <c r="CZ363">
        <v>14</v>
      </c>
      <c r="DA363">
        <v>0</v>
      </c>
      <c r="DB363">
        <v>2</v>
      </c>
      <c r="DC363">
        <v>3</v>
      </c>
      <c r="DD363">
        <v>0</v>
      </c>
      <c r="DE363">
        <v>0</v>
      </c>
      <c r="DF363">
        <v>2</v>
      </c>
      <c r="DG363">
        <v>1</v>
      </c>
      <c r="DH363">
        <v>0</v>
      </c>
      <c r="DI363">
        <v>1</v>
      </c>
      <c r="DJ363">
        <v>23</v>
      </c>
      <c r="DK363">
        <v>110</v>
      </c>
      <c r="DL363">
        <v>66</v>
      </c>
      <c r="DM363">
        <v>19</v>
      </c>
      <c r="DN363">
        <v>2</v>
      </c>
      <c r="DO363">
        <v>7</v>
      </c>
      <c r="DP363">
        <v>3</v>
      </c>
      <c r="DQ363">
        <v>2</v>
      </c>
      <c r="DR363">
        <v>0</v>
      </c>
      <c r="DS363">
        <v>1</v>
      </c>
      <c r="DT363">
        <v>1</v>
      </c>
      <c r="DU363">
        <v>9</v>
      </c>
      <c r="DV363">
        <v>110</v>
      </c>
      <c r="DW363">
        <v>5</v>
      </c>
      <c r="DX363">
        <v>1</v>
      </c>
      <c r="DY363">
        <v>3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1</v>
      </c>
      <c r="EG363">
        <v>0</v>
      </c>
      <c r="EH363">
        <v>5</v>
      </c>
      <c r="EI363">
        <v>1</v>
      </c>
      <c r="EJ363">
        <v>0</v>
      </c>
      <c r="EK363">
        <v>1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1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3</v>
      </c>
      <c r="FF363">
        <v>0</v>
      </c>
      <c r="FG363">
        <v>2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1</v>
      </c>
      <c r="FP363">
        <v>3</v>
      </c>
    </row>
    <row r="364" spans="1:172" ht="14.25">
      <c r="A364">
        <v>359</v>
      </c>
      <c r="B364" t="str">
        <f t="shared" si="67"/>
        <v>101901</v>
      </c>
      <c r="C364" t="str">
        <f t="shared" si="68"/>
        <v>m. Zduńska Wola</v>
      </c>
      <c r="D364" t="str">
        <f t="shared" si="69"/>
        <v>zduńskowolski</v>
      </c>
      <c r="E364" t="str">
        <f t="shared" si="64"/>
        <v>łódzkie</v>
      </c>
      <c r="F364">
        <v>21</v>
      </c>
      <c r="G364" t="str">
        <f>"Filia Miejskiego Domu Kultury, 1-go Maja 5-7, 98-220 Zduńska Wola"</f>
        <v>Filia Miejskiego Domu Kultury, 1-go Maja 5-7, 98-220 Zduńska Wola</v>
      </c>
      <c r="H364">
        <v>1608</v>
      </c>
      <c r="I364">
        <v>1606</v>
      </c>
      <c r="J364">
        <v>2</v>
      </c>
      <c r="K364">
        <v>1130</v>
      </c>
      <c r="L364">
        <v>805</v>
      </c>
      <c r="M364">
        <v>325</v>
      </c>
      <c r="N364">
        <v>325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325</v>
      </c>
      <c r="Z364">
        <v>0</v>
      </c>
      <c r="AA364">
        <v>0</v>
      </c>
      <c r="AB364">
        <v>325</v>
      </c>
      <c r="AC364">
        <v>5</v>
      </c>
      <c r="AD364">
        <v>320</v>
      </c>
      <c r="AE364">
        <v>10</v>
      </c>
      <c r="AF364">
        <v>2</v>
      </c>
      <c r="AG364">
        <v>3</v>
      </c>
      <c r="AH364">
        <v>2</v>
      </c>
      <c r="AI364">
        <v>1</v>
      </c>
      <c r="AJ364">
        <v>0</v>
      </c>
      <c r="AK364">
        <v>2</v>
      </c>
      <c r="AL364">
        <v>0</v>
      </c>
      <c r="AM364">
        <v>0</v>
      </c>
      <c r="AN364">
        <v>0</v>
      </c>
      <c r="AO364">
        <v>0</v>
      </c>
      <c r="AP364">
        <v>10</v>
      </c>
      <c r="AQ364">
        <v>4</v>
      </c>
      <c r="AR364">
        <v>3</v>
      </c>
      <c r="AS364">
        <v>1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4</v>
      </c>
      <c r="BC364">
        <v>27</v>
      </c>
      <c r="BD364">
        <v>8</v>
      </c>
      <c r="BE364">
        <v>1</v>
      </c>
      <c r="BF364">
        <v>5</v>
      </c>
      <c r="BG364">
        <v>11</v>
      </c>
      <c r="BH364">
        <v>0</v>
      </c>
      <c r="BI364">
        <v>0</v>
      </c>
      <c r="BJ364">
        <v>2</v>
      </c>
      <c r="BK364">
        <v>0</v>
      </c>
      <c r="BL364">
        <v>0</v>
      </c>
      <c r="BM364">
        <v>0</v>
      </c>
      <c r="BN364">
        <v>27</v>
      </c>
      <c r="BO364">
        <v>158</v>
      </c>
      <c r="BP364">
        <v>112</v>
      </c>
      <c r="BQ364">
        <v>16</v>
      </c>
      <c r="BR364">
        <v>4</v>
      </c>
      <c r="BS364">
        <v>17</v>
      </c>
      <c r="BT364">
        <v>0</v>
      </c>
      <c r="BU364">
        <v>0</v>
      </c>
      <c r="BV364">
        <v>2</v>
      </c>
      <c r="BW364">
        <v>1</v>
      </c>
      <c r="BX364">
        <v>2</v>
      </c>
      <c r="BY364">
        <v>4</v>
      </c>
      <c r="BZ364">
        <v>158</v>
      </c>
      <c r="CA364">
        <v>10</v>
      </c>
      <c r="CB364">
        <v>4</v>
      </c>
      <c r="CC364">
        <v>4</v>
      </c>
      <c r="CD364">
        <v>1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1</v>
      </c>
      <c r="CK364">
        <v>0</v>
      </c>
      <c r="CL364">
        <v>10</v>
      </c>
      <c r="CM364">
        <v>7</v>
      </c>
      <c r="CN364">
        <v>5</v>
      </c>
      <c r="CO364">
        <v>1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1</v>
      </c>
      <c r="CW364">
        <v>0</v>
      </c>
      <c r="CX364">
        <v>7</v>
      </c>
      <c r="CY364">
        <v>9</v>
      </c>
      <c r="CZ364">
        <v>6</v>
      </c>
      <c r="DA364">
        <v>1</v>
      </c>
      <c r="DB364">
        <v>0</v>
      </c>
      <c r="DC364">
        <v>0</v>
      </c>
      <c r="DD364">
        <v>1</v>
      </c>
      <c r="DE364">
        <v>0</v>
      </c>
      <c r="DF364">
        <v>0</v>
      </c>
      <c r="DG364">
        <v>0</v>
      </c>
      <c r="DH364">
        <v>0</v>
      </c>
      <c r="DI364">
        <v>1</v>
      </c>
      <c r="DJ364">
        <v>9</v>
      </c>
      <c r="DK364">
        <v>85</v>
      </c>
      <c r="DL364">
        <v>46</v>
      </c>
      <c r="DM364">
        <v>26</v>
      </c>
      <c r="DN364">
        <v>0</v>
      </c>
      <c r="DO364">
        <v>7</v>
      </c>
      <c r="DP364">
        <v>2</v>
      </c>
      <c r="DQ364">
        <v>0</v>
      </c>
      <c r="DR364">
        <v>0</v>
      </c>
      <c r="DS364">
        <v>2</v>
      </c>
      <c r="DT364">
        <v>1</v>
      </c>
      <c r="DU364">
        <v>1</v>
      </c>
      <c r="DV364">
        <v>85</v>
      </c>
      <c r="DW364">
        <v>8</v>
      </c>
      <c r="DX364">
        <v>4</v>
      </c>
      <c r="DY364">
        <v>0</v>
      </c>
      <c r="DZ364">
        <v>0</v>
      </c>
      <c r="EA364">
        <v>0</v>
      </c>
      <c r="EB364">
        <v>2</v>
      </c>
      <c r="EC364">
        <v>0</v>
      </c>
      <c r="ED364">
        <v>2</v>
      </c>
      <c r="EE364">
        <v>0</v>
      </c>
      <c r="EF364">
        <v>0</v>
      </c>
      <c r="EG364">
        <v>0</v>
      </c>
      <c r="EH364">
        <v>8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2</v>
      </c>
      <c r="FF364">
        <v>1</v>
      </c>
      <c r="FG364">
        <v>1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2</v>
      </c>
    </row>
    <row r="365" spans="1:172" ht="14.25">
      <c r="A365">
        <v>360</v>
      </c>
      <c r="B365" t="str">
        <f t="shared" si="67"/>
        <v>101901</v>
      </c>
      <c r="C365" t="str">
        <f t="shared" si="68"/>
        <v>m. Zduńska Wola</v>
      </c>
      <c r="D365" t="str">
        <f t="shared" si="69"/>
        <v>zduńskowolski</v>
      </c>
      <c r="E365" t="str">
        <f t="shared" si="64"/>
        <v>łódzkie</v>
      </c>
      <c r="F365">
        <v>22</v>
      </c>
      <c r="G365" t="str">
        <f>"Dom Pomocy Społecznej, ul. Łaska 42, 98-220 Zduńska Wola"</f>
        <v>Dom Pomocy Społecznej, ul. Łaska 42, 98-220 Zduńska Wola</v>
      </c>
      <c r="H365">
        <v>49</v>
      </c>
      <c r="I365">
        <v>49</v>
      </c>
      <c r="J365">
        <v>0</v>
      </c>
      <c r="K365">
        <v>51</v>
      </c>
      <c r="L365">
        <v>40</v>
      </c>
      <c r="M365">
        <v>11</v>
      </c>
      <c r="N365">
        <v>11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11</v>
      </c>
      <c r="Z365">
        <v>0</v>
      </c>
      <c r="AA365">
        <v>0</v>
      </c>
      <c r="AB365">
        <v>11</v>
      </c>
      <c r="AC365">
        <v>1</v>
      </c>
      <c r="AD365">
        <v>10</v>
      </c>
      <c r="AE365">
        <v>4</v>
      </c>
      <c r="AF365">
        <v>0</v>
      </c>
      <c r="AG365">
        <v>1</v>
      </c>
      <c r="AH365">
        <v>0</v>
      </c>
      <c r="AI365">
        <v>2</v>
      </c>
      <c r="AJ365">
        <v>1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4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4</v>
      </c>
      <c r="BP365">
        <v>1</v>
      </c>
      <c r="BQ365">
        <v>2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1</v>
      </c>
      <c r="BX365">
        <v>0</v>
      </c>
      <c r="BY365">
        <v>0</v>
      </c>
      <c r="BZ365">
        <v>4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1</v>
      </c>
      <c r="DL365">
        <v>0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1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1</v>
      </c>
      <c r="FF365">
        <v>0</v>
      </c>
      <c r="FG365">
        <v>1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1</v>
      </c>
    </row>
    <row r="366" spans="1:172" ht="14.25">
      <c r="A366">
        <v>361</v>
      </c>
      <c r="B366" t="str">
        <f t="shared" si="67"/>
        <v>101901</v>
      </c>
      <c r="C366" t="str">
        <f t="shared" si="68"/>
        <v>m. Zduńska Wola</v>
      </c>
      <c r="D366" t="str">
        <f t="shared" si="69"/>
        <v>zduńskowolski</v>
      </c>
      <c r="E366" t="str">
        <f t="shared" si="64"/>
        <v>łódzkie</v>
      </c>
      <c r="F366">
        <v>23</v>
      </c>
      <c r="G366" t="str">
        <f>"Zduńskowolski Szpital Powiatowy Sp. z o.o., ul. Królewska 29, 98-220 Zduńska Wola"</f>
        <v>Zduńskowolski Szpital Powiatowy Sp. z o.o., ul. Królewska 29, 98-220 Zduńska Wola</v>
      </c>
      <c r="H366">
        <v>74</v>
      </c>
      <c r="I366">
        <v>74</v>
      </c>
      <c r="J366">
        <v>0</v>
      </c>
      <c r="K366">
        <v>160</v>
      </c>
      <c r="L366">
        <v>141</v>
      </c>
      <c r="M366">
        <v>19</v>
      </c>
      <c r="N366">
        <v>19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19</v>
      </c>
      <c r="Z366">
        <v>0</v>
      </c>
      <c r="AA366">
        <v>0</v>
      </c>
      <c r="AB366">
        <v>19</v>
      </c>
      <c r="AC366">
        <v>3</v>
      </c>
      <c r="AD366">
        <v>16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1</v>
      </c>
      <c r="BD366">
        <v>0</v>
      </c>
      <c r="BE366">
        <v>0</v>
      </c>
      <c r="BF366">
        <v>1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1</v>
      </c>
      <c r="BO366">
        <v>10</v>
      </c>
      <c r="BP366">
        <v>5</v>
      </c>
      <c r="BQ366">
        <v>3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1</v>
      </c>
      <c r="BY366">
        <v>1</v>
      </c>
      <c r="BZ366">
        <v>10</v>
      </c>
      <c r="CA366">
        <v>1</v>
      </c>
      <c r="CB366">
        <v>0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1</v>
      </c>
      <c r="CM366">
        <v>1</v>
      </c>
      <c r="CN366">
        <v>0</v>
      </c>
      <c r="CO366">
        <v>0</v>
      </c>
      <c r="CP366">
        <v>0</v>
      </c>
      <c r="CQ366">
        <v>1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1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3</v>
      </c>
      <c r="DL366">
        <v>0</v>
      </c>
      <c r="DM366">
        <v>2</v>
      </c>
      <c r="DN366">
        <v>0</v>
      </c>
      <c r="DO366">
        <v>1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3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</row>
    <row r="367" spans="1:172" ht="14.25">
      <c r="A367">
        <v>362</v>
      </c>
      <c r="B367" t="str">
        <f aca="true" t="shared" si="70" ref="B367:B374">"101902"</f>
        <v>101902</v>
      </c>
      <c r="C367" t="str">
        <f aca="true" t="shared" si="71" ref="C367:C374">"Szadek"</f>
        <v>Szadek</v>
      </c>
      <c r="D367" t="str">
        <f t="shared" si="69"/>
        <v>zduńskowolski</v>
      </c>
      <c r="E367" t="str">
        <f t="shared" si="64"/>
        <v>łódzkie</v>
      </c>
      <c r="F367">
        <v>1</v>
      </c>
      <c r="G367" t="str">
        <f>"Gimnazjum Publiczne w Szadku, Prusinowska 4, Szadek, 98-240 Szadku"</f>
        <v>Gimnazjum Publiczne w Szadku, Prusinowska 4, Szadek, 98-240 Szadku</v>
      </c>
      <c r="H367">
        <v>1702</v>
      </c>
      <c r="I367">
        <v>1702</v>
      </c>
      <c r="J367">
        <v>0</v>
      </c>
      <c r="K367">
        <v>1159</v>
      </c>
      <c r="L367">
        <v>818</v>
      </c>
      <c r="M367">
        <v>341</v>
      </c>
      <c r="N367">
        <v>341</v>
      </c>
      <c r="O367">
        <v>0</v>
      </c>
      <c r="P367">
        <v>1</v>
      </c>
      <c r="Q367">
        <v>5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341</v>
      </c>
      <c r="Z367">
        <v>0</v>
      </c>
      <c r="AA367">
        <v>0</v>
      </c>
      <c r="AB367">
        <v>341</v>
      </c>
      <c r="AC367">
        <v>14</v>
      </c>
      <c r="AD367">
        <v>327</v>
      </c>
      <c r="AE367">
        <v>2</v>
      </c>
      <c r="AF367">
        <v>1</v>
      </c>
      <c r="AG367">
        <v>0</v>
      </c>
      <c r="AH367">
        <v>0</v>
      </c>
      <c r="AI367">
        <v>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2</v>
      </c>
      <c r="AQ367">
        <v>5</v>
      </c>
      <c r="AR367">
        <v>2</v>
      </c>
      <c r="AS367">
        <v>1</v>
      </c>
      <c r="AT367">
        <v>1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1</v>
      </c>
      <c r="BB367">
        <v>5</v>
      </c>
      <c r="BC367">
        <v>11</v>
      </c>
      <c r="BD367">
        <v>5</v>
      </c>
      <c r="BE367">
        <v>2</v>
      </c>
      <c r="BF367">
        <v>0</v>
      </c>
      <c r="BG367">
        <v>2</v>
      </c>
      <c r="BH367">
        <v>0</v>
      </c>
      <c r="BI367">
        <v>1</v>
      </c>
      <c r="BJ367">
        <v>0</v>
      </c>
      <c r="BK367">
        <v>0</v>
      </c>
      <c r="BL367">
        <v>0</v>
      </c>
      <c r="BM367">
        <v>1</v>
      </c>
      <c r="BN367">
        <v>11</v>
      </c>
      <c r="BO367">
        <v>149</v>
      </c>
      <c r="BP367">
        <v>86</v>
      </c>
      <c r="BQ367">
        <v>13</v>
      </c>
      <c r="BR367">
        <v>3</v>
      </c>
      <c r="BS367">
        <v>41</v>
      </c>
      <c r="BT367">
        <v>0</v>
      </c>
      <c r="BU367">
        <v>0</v>
      </c>
      <c r="BV367">
        <v>0</v>
      </c>
      <c r="BW367">
        <v>2</v>
      </c>
      <c r="BX367">
        <v>0</v>
      </c>
      <c r="BY367">
        <v>4</v>
      </c>
      <c r="BZ367">
        <v>149</v>
      </c>
      <c r="CA367">
        <v>8</v>
      </c>
      <c r="CB367">
        <v>5</v>
      </c>
      <c r="CC367">
        <v>0</v>
      </c>
      <c r="CD367">
        <v>1</v>
      </c>
      <c r="CE367">
        <v>0</v>
      </c>
      <c r="CF367">
        <v>1</v>
      </c>
      <c r="CG367">
        <v>0</v>
      </c>
      <c r="CH367">
        <v>0</v>
      </c>
      <c r="CI367">
        <v>1</v>
      </c>
      <c r="CJ367">
        <v>0</v>
      </c>
      <c r="CK367">
        <v>0</v>
      </c>
      <c r="CL367">
        <v>8</v>
      </c>
      <c r="CM367">
        <v>7</v>
      </c>
      <c r="CN367">
        <v>7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7</v>
      </c>
      <c r="CY367">
        <v>13</v>
      </c>
      <c r="CZ367">
        <v>8</v>
      </c>
      <c r="DA367">
        <v>1</v>
      </c>
      <c r="DB367">
        <v>0</v>
      </c>
      <c r="DC367">
        <v>0</v>
      </c>
      <c r="DD367">
        <v>2</v>
      </c>
      <c r="DE367">
        <v>1</v>
      </c>
      <c r="DF367">
        <v>0</v>
      </c>
      <c r="DG367">
        <v>0</v>
      </c>
      <c r="DH367">
        <v>1</v>
      </c>
      <c r="DI367">
        <v>0</v>
      </c>
      <c r="DJ367">
        <v>13</v>
      </c>
      <c r="DK367">
        <v>95</v>
      </c>
      <c r="DL367">
        <v>67</v>
      </c>
      <c r="DM367">
        <v>17</v>
      </c>
      <c r="DN367">
        <v>0</v>
      </c>
      <c r="DO367">
        <v>3</v>
      </c>
      <c r="DP367">
        <v>0</v>
      </c>
      <c r="DQ367">
        <v>2</v>
      </c>
      <c r="DR367">
        <v>0</v>
      </c>
      <c r="DS367">
        <v>0</v>
      </c>
      <c r="DT367">
        <v>0</v>
      </c>
      <c r="DU367">
        <v>6</v>
      </c>
      <c r="DV367">
        <v>95</v>
      </c>
      <c r="DW367">
        <v>32</v>
      </c>
      <c r="DX367">
        <v>17</v>
      </c>
      <c r="DY367">
        <v>1</v>
      </c>
      <c r="DZ367">
        <v>0</v>
      </c>
      <c r="EA367">
        <v>1</v>
      </c>
      <c r="EB367">
        <v>1</v>
      </c>
      <c r="EC367">
        <v>0</v>
      </c>
      <c r="ED367">
        <v>1</v>
      </c>
      <c r="EE367">
        <v>7</v>
      </c>
      <c r="EF367">
        <v>2</v>
      </c>
      <c r="EG367">
        <v>2</v>
      </c>
      <c r="EH367">
        <v>32</v>
      </c>
      <c r="EI367">
        <v>3</v>
      </c>
      <c r="EJ367">
        <v>0</v>
      </c>
      <c r="EK367">
        <v>2</v>
      </c>
      <c r="EL367">
        <v>0</v>
      </c>
      <c r="EM367">
        <v>0</v>
      </c>
      <c r="EN367">
        <v>0</v>
      </c>
      <c r="EO367">
        <v>1</v>
      </c>
      <c r="EP367">
        <v>0</v>
      </c>
      <c r="EQ367">
        <v>0</v>
      </c>
      <c r="ER367">
        <v>3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2</v>
      </c>
      <c r="FF367">
        <v>1</v>
      </c>
      <c r="FG367">
        <v>1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2</v>
      </c>
    </row>
    <row r="368" spans="1:172" ht="14.25">
      <c r="A368">
        <v>363</v>
      </c>
      <c r="B368" t="str">
        <f t="shared" si="70"/>
        <v>101902</v>
      </c>
      <c r="C368" t="str">
        <f t="shared" si="71"/>
        <v>Szadek</v>
      </c>
      <c r="D368" t="str">
        <f t="shared" si="69"/>
        <v>zduńskowolski</v>
      </c>
      <c r="E368" t="str">
        <f t="shared" si="64"/>
        <v>łódzkie</v>
      </c>
      <c r="F368">
        <v>2</v>
      </c>
      <c r="G368" t="str">
        <f>"Szkoła Podstawowa w Sikucinie, Sikucin 1, 98-240 Szadek"</f>
        <v>Szkoła Podstawowa w Sikucinie, Sikucin 1, 98-240 Szadek</v>
      </c>
      <c r="H368">
        <v>817</v>
      </c>
      <c r="I368">
        <v>817</v>
      </c>
      <c r="J368">
        <v>0</v>
      </c>
      <c r="K368">
        <v>567</v>
      </c>
      <c r="L368">
        <v>479</v>
      </c>
      <c r="M368">
        <v>88</v>
      </c>
      <c r="N368">
        <v>88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88</v>
      </c>
      <c r="Z368">
        <v>0</v>
      </c>
      <c r="AA368">
        <v>0</v>
      </c>
      <c r="AB368">
        <v>88</v>
      </c>
      <c r="AC368">
        <v>2</v>
      </c>
      <c r="AD368">
        <v>86</v>
      </c>
      <c r="AE368">
        <v>1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1</v>
      </c>
      <c r="AN368">
        <v>0</v>
      </c>
      <c r="AO368">
        <v>0</v>
      </c>
      <c r="AP368">
        <v>1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51</v>
      </c>
      <c r="BP368">
        <v>26</v>
      </c>
      <c r="BQ368">
        <v>3</v>
      </c>
      <c r="BR368">
        <v>0</v>
      </c>
      <c r="BS368">
        <v>14</v>
      </c>
      <c r="BT368">
        <v>1</v>
      </c>
      <c r="BU368">
        <v>1</v>
      </c>
      <c r="BV368">
        <v>0</v>
      </c>
      <c r="BW368">
        <v>0</v>
      </c>
      <c r="BX368">
        <v>1</v>
      </c>
      <c r="BY368">
        <v>5</v>
      </c>
      <c r="BZ368">
        <v>51</v>
      </c>
      <c r="CA368">
        <v>2</v>
      </c>
      <c r="CB368">
        <v>1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1</v>
      </c>
      <c r="CJ368">
        <v>0</v>
      </c>
      <c r="CK368">
        <v>0</v>
      </c>
      <c r="CL368">
        <v>2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2</v>
      </c>
      <c r="CZ368">
        <v>2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2</v>
      </c>
      <c r="DK368">
        <v>8</v>
      </c>
      <c r="DL368">
        <v>3</v>
      </c>
      <c r="DM368">
        <v>0</v>
      </c>
      <c r="DN368">
        <v>0</v>
      </c>
      <c r="DO368">
        <v>4</v>
      </c>
      <c r="DP368">
        <v>0</v>
      </c>
      <c r="DQ368">
        <v>0</v>
      </c>
      <c r="DR368">
        <v>0</v>
      </c>
      <c r="DS368">
        <v>1</v>
      </c>
      <c r="DT368">
        <v>0</v>
      </c>
      <c r="DU368">
        <v>0</v>
      </c>
      <c r="DV368">
        <v>8</v>
      </c>
      <c r="DW368">
        <v>22</v>
      </c>
      <c r="DX368">
        <v>15</v>
      </c>
      <c r="DY368">
        <v>1</v>
      </c>
      <c r="DZ368">
        <v>0</v>
      </c>
      <c r="EA368">
        <v>1</v>
      </c>
      <c r="EB368">
        <v>3</v>
      </c>
      <c r="EC368">
        <v>1</v>
      </c>
      <c r="ED368">
        <v>1</v>
      </c>
      <c r="EE368">
        <v>0</v>
      </c>
      <c r="EF368">
        <v>0</v>
      </c>
      <c r="EG368">
        <v>0</v>
      </c>
      <c r="EH368">
        <v>22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</row>
    <row r="369" spans="1:172" ht="14.25">
      <c r="A369">
        <v>364</v>
      </c>
      <c r="B369" t="str">
        <f t="shared" si="70"/>
        <v>101902</v>
      </c>
      <c r="C369" t="str">
        <f t="shared" si="71"/>
        <v>Szadek</v>
      </c>
      <c r="D369" t="str">
        <f t="shared" si="69"/>
        <v>zduńskowolski</v>
      </c>
      <c r="E369" t="str">
        <f t="shared" si="64"/>
        <v>łódzkie</v>
      </c>
      <c r="F369">
        <v>3</v>
      </c>
      <c r="G369" t="str">
        <f>"Szkoła Podstawowa w Prusinowicach, Prusinowice 49, 98-240 Szadek"</f>
        <v>Szkoła Podstawowa w Prusinowicach, Prusinowice 49, 98-240 Szadek</v>
      </c>
      <c r="H369">
        <v>794</v>
      </c>
      <c r="I369">
        <v>794</v>
      </c>
      <c r="J369">
        <v>0</v>
      </c>
      <c r="K369">
        <v>560</v>
      </c>
      <c r="L369">
        <v>475</v>
      </c>
      <c r="M369">
        <v>85</v>
      </c>
      <c r="N369">
        <v>85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85</v>
      </c>
      <c r="Z369">
        <v>0</v>
      </c>
      <c r="AA369">
        <v>0</v>
      </c>
      <c r="AB369">
        <v>85</v>
      </c>
      <c r="AC369">
        <v>9</v>
      </c>
      <c r="AD369">
        <v>76</v>
      </c>
      <c r="AE369">
        <v>2</v>
      </c>
      <c r="AF369">
        <v>1</v>
      </c>
      <c r="AG369">
        <v>1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2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5</v>
      </c>
      <c r="BD369">
        <v>0</v>
      </c>
      <c r="BE369">
        <v>0</v>
      </c>
      <c r="BF369">
        <v>5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5</v>
      </c>
      <c r="BO369">
        <v>39</v>
      </c>
      <c r="BP369">
        <v>21</v>
      </c>
      <c r="BQ369">
        <v>2</v>
      </c>
      <c r="BR369">
        <v>0</v>
      </c>
      <c r="BS369">
        <v>15</v>
      </c>
      <c r="BT369">
        <v>0</v>
      </c>
      <c r="BU369">
        <v>0</v>
      </c>
      <c r="BV369">
        <v>1</v>
      </c>
      <c r="BW369">
        <v>0</v>
      </c>
      <c r="BX369">
        <v>0</v>
      </c>
      <c r="BY369">
        <v>0</v>
      </c>
      <c r="BZ369">
        <v>39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1</v>
      </c>
      <c r="CN369">
        <v>1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1</v>
      </c>
      <c r="CY369">
        <v>2</v>
      </c>
      <c r="CZ369">
        <v>2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2</v>
      </c>
      <c r="DK369">
        <v>6</v>
      </c>
      <c r="DL369">
        <v>5</v>
      </c>
      <c r="DM369">
        <v>1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6</v>
      </c>
      <c r="DW369">
        <v>20</v>
      </c>
      <c r="DX369">
        <v>10</v>
      </c>
      <c r="DY369">
        <v>1</v>
      </c>
      <c r="DZ369">
        <v>0</v>
      </c>
      <c r="EA369">
        <v>2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7</v>
      </c>
      <c r="EH369">
        <v>20</v>
      </c>
      <c r="EI369">
        <v>1</v>
      </c>
      <c r="EJ369">
        <v>0</v>
      </c>
      <c r="EK369">
        <v>1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1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</row>
    <row r="370" spans="1:172" ht="14.25">
      <c r="A370">
        <v>365</v>
      </c>
      <c r="B370" t="str">
        <f t="shared" si="70"/>
        <v>101902</v>
      </c>
      <c r="C370" t="str">
        <f t="shared" si="71"/>
        <v>Szadek</v>
      </c>
      <c r="D370" t="str">
        <f t="shared" si="69"/>
        <v>zduńskowolski</v>
      </c>
      <c r="E370" t="str">
        <f t="shared" si="64"/>
        <v>łódzkie</v>
      </c>
      <c r="F370">
        <v>4</v>
      </c>
      <c r="G370" t="str">
        <f>"Szkoła Podstawowa w Krokocicach, Krokocice 2, 98-240 Szadek"</f>
        <v>Szkoła Podstawowa w Krokocicach, Krokocice 2, 98-240 Szadek</v>
      </c>
      <c r="H370">
        <v>575</v>
      </c>
      <c r="I370">
        <v>575</v>
      </c>
      <c r="J370">
        <v>0</v>
      </c>
      <c r="K370">
        <v>404</v>
      </c>
      <c r="L370">
        <v>320</v>
      </c>
      <c r="M370">
        <v>84</v>
      </c>
      <c r="N370">
        <v>84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84</v>
      </c>
      <c r="Z370">
        <v>0</v>
      </c>
      <c r="AA370">
        <v>0</v>
      </c>
      <c r="AB370">
        <v>84</v>
      </c>
      <c r="AC370">
        <v>4</v>
      </c>
      <c r="AD370">
        <v>80</v>
      </c>
      <c r="AE370">
        <v>3</v>
      </c>
      <c r="AF370">
        <v>0</v>
      </c>
      <c r="AG370">
        <v>0</v>
      </c>
      <c r="AH370">
        <v>0</v>
      </c>
      <c r="AI370">
        <v>1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1</v>
      </c>
      <c r="AP370">
        <v>3</v>
      </c>
      <c r="AQ370">
        <v>1</v>
      </c>
      <c r="AR370">
        <v>0</v>
      </c>
      <c r="AS370">
        <v>0</v>
      </c>
      <c r="AT370">
        <v>1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1</v>
      </c>
      <c r="BC370">
        <v>2</v>
      </c>
      <c r="BD370">
        <v>0</v>
      </c>
      <c r="BE370">
        <v>0</v>
      </c>
      <c r="BF370">
        <v>0</v>
      </c>
      <c r="BG370">
        <v>2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2</v>
      </c>
      <c r="BO370">
        <v>30</v>
      </c>
      <c r="BP370">
        <v>14</v>
      </c>
      <c r="BQ370">
        <v>4</v>
      </c>
      <c r="BR370">
        <v>0</v>
      </c>
      <c r="BS370">
        <v>9</v>
      </c>
      <c r="BT370">
        <v>0</v>
      </c>
      <c r="BU370">
        <v>0</v>
      </c>
      <c r="BV370">
        <v>0</v>
      </c>
      <c r="BW370">
        <v>0</v>
      </c>
      <c r="BX370">
        <v>1</v>
      </c>
      <c r="BY370">
        <v>2</v>
      </c>
      <c r="BZ370">
        <v>30</v>
      </c>
      <c r="CA370">
        <v>1</v>
      </c>
      <c r="CB370">
        <v>0</v>
      </c>
      <c r="CC370">
        <v>0</v>
      </c>
      <c r="CD370">
        <v>1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</v>
      </c>
      <c r="CM370">
        <v>3</v>
      </c>
      <c r="CN370">
        <v>0</v>
      </c>
      <c r="CO370">
        <v>1</v>
      </c>
      <c r="CP370">
        <v>0</v>
      </c>
      <c r="CQ370">
        <v>0</v>
      </c>
      <c r="CR370">
        <v>0</v>
      </c>
      <c r="CS370">
        <v>1</v>
      </c>
      <c r="CT370">
        <v>0</v>
      </c>
      <c r="CU370">
        <v>1</v>
      </c>
      <c r="CV370">
        <v>0</v>
      </c>
      <c r="CW370">
        <v>0</v>
      </c>
      <c r="CX370">
        <v>3</v>
      </c>
      <c r="CY370">
        <v>3</v>
      </c>
      <c r="CZ370">
        <v>3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3</v>
      </c>
      <c r="DK370">
        <v>11</v>
      </c>
      <c r="DL370">
        <v>8</v>
      </c>
      <c r="DM370">
        <v>3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11</v>
      </c>
      <c r="DW370">
        <v>21</v>
      </c>
      <c r="DX370">
        <v>13</v>
      </c>
      <c r="DY370">
        <v>2</v>
      </c>
      <c r="DZ370">
        <v>0</v>
      </c>
      <c r="EA370">
        <v>4</v>
      </c>
      <c r="EB370">
        <v>0</v>
      </c>
      <c r="EC370">
        <v>0</v>
      </c>
      <c r="ED370">
        <v>1</v>
      </c>
      <c r="EE370">
        <v>1</v>
      </c>
      <c r="EF370">
        <v>0</v>
      </c>
      <c r="EG370">
        <v>0</v>
      </c>
      <c r="EH370">
        <v>21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5</v>
      </c>
      <c r="ET370">
        <v>0</v>
      </c>
      <c r="EU370">
        <v>4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1</v>
      </c>
      <c r="FB370">
        <v>0</v>
      </c>
      <c r="FC370">
        <v>0</v>
      </c>
      <c r="FD370">
        <v>5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</row>
    <row r="371" spans="1:172" ht="14.25">
      <c r="A371">
        <v>366</v>
      </c>
      <c r="B371" t="str">
        <f t="shared" si="70"/>
        <v>101902</v>
      </c>
      <c r="C371" t="str">
        <f t="shared" si="71"/>
        <v>Szadek</v>
      </c>
      <c r="D371" t="str">
        <f t="shared" si="69"/>
        <v>zduńskowolski</v>
      </c>
      <c r="E371" t="str">
        <f t="shared" si="64"/>
        <v>łódzkie</v>
      </c>
      <c r="F371">
        <v>5</v>
      </c>
      <c r="G371" t="str">
        <f>"Świetlica Wiejska w Górnej Woli, Górna Wola 21A, 98-240 Szadek"</f>
        <v>Świetlica Wiejska w Górnej Woli, Górna Wola 21A, 98-240 Szadek</v>
      </c>
      <c r="H371">
        <v>508</v>
      </c>
      <c r="I371">
        <v>508</v>
      </c>
      <c r="J371">
        <v>0</v>
      </c>
      <c r="K371">
        <v>360</v>
      </c>
      <c r="L371">
        <v>254</v>
      </c>
      <c r="M371">
        <v>106</v>
      </c>
      <c r="N371">
        <v>106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106</v>
      </c>
      <c r="Z371">
        <v>0</v>
      </c>
      <c r="AA371">
        <v>0</v>
      </c>
      <c r="AB371">
        <v>106</v>
      </c>
      <c r="AC371">
        <v>2</v>
      </c>
      <c r="AD371">
        <v>104</v>
      </c>
      <c r="AE371">
        <v>1</v>
      </c>
      <c r="AF371">
        <v>1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1</v>
      </c>
      <c r="AQ371">
        <v>1</v>
      </c>
      <c r="AR371">
        <v>0</v>
      </c>
      <c r="AS371">
        <v>1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1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51</v>
      </c>
      <c r="BP371">
        <v>41</v>
      </c>
      <c r="BQ371">
        <v>1</v>
      </c>
      <c r="BR371">
        <v>3</v>
      </c>
      <c r="BS371">
        <v>4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2</v>
      </c>
      <c r="BZ371">
        <v>51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3</v>
      </c>
      <c r="CN371">
        <v>0</v>
      </c>
      <c r="CO371">
        <v>0</v>
      </c>
      <c r="CP371">
        <v>0</v>
      </c>
      <c r="CQ371">
        <v>0</v>
      </c>
      <c r="CR371">
        <v>3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3</v>
      </c>
      <c r="CY371">
        <v>1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1</v>
      </c>
      <c r="DG371">
        <v>0</v>
      </c>
      <c r="DH371">
        <v>0</v>
      </c>
      <c r="DI371">
        <v>0</v>
      </c>
      <c r="DJ371">
        <v>1</v>
      </c>
      <c r="DK371">
        <v>14</v>
      </c>
      <c r="DL371">
        <v>9</v>
      </c>
      <c r="DM371">
        <v>2</v>
      </c>
      <c r="DN371">
        <v>0</v>
      </c>
      <c r="DO371">
        <v>0</v>
      </c>
      <c r="DP371">
        <v>0</v>
      </c>
      <c r="DQ371">
        <v>1</v>
      </c>
      <c r="DR371">
        <v>0</v>
      </c>
      <c r="DS371">
        <v>0</v>
      </c>
      <c r="DT371">
        <v>0</v>
      </c>
      <c r="DU371">
        <v>2</v>
      </c>
      <c r="DV371">
        <v>14</v>
      </c>
      <c r="DW371">
        <v>29</v>
      </c>
      <c r="DX371">
        <v>12</v>
      </c>
      <c r="DY371">
        <v>3</v>
      </c>
      <c r="DZ371">
        <v>0</v>
      </c>
      <c r="EA371">
        <v>4</v>
      </c>
      <c r="EB371">
        <v>1</v>
      </c>
      <c r="EC371">
        <v>1</v>
      </c>
      <c r="ED371">
        <v>1</v>
      </c>
      <c r="EE371">
        <v>6</v>
      </c>
      <c r="EF371">
        <v>0</v>
      </c>
      <c r="EG371">
        <v>1</v>
      </c>
      <c r="EH371">
        <v>29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4</v>
      </c>
      <c r="FF371">
        <v>2</v>
      </c>
      <c r="FG371">
        <v>0</v>
      </c>
      <c r="FH371">
        <v>0</v>
      </c>
      <c r="FI371">
        <v>0</v>
      </c>
      <c r="FJ371">
        <v>1</v>
      </c>
      <c r="FK371">
        <v>0</v>
      </c>
      <c r="FL371">
        <v>0</v>
      </c>
      <c r="FM371">
        <v>0</v>
      </c>
      <c r="FN371">
        <v>1</v>
      </c>
      <c r="FO371">
        <v>0</v>
      </c>
      <c r="FP371">
        <v>4</v>
      </c>
    </row>
    <row r="372" spans="1:172" ht="14.25">
      <c r="A372">
        <v>367</v>
      </c>
      <c r="B372" t="str">
        <f t="shared" si="70"/>
        <v>101902</v>
      </c>
      <c r="C372" t="str">
        <f t="shared" si="71"/>
        <v>Szadek</v>
      </c>
      <c r="D372" t="str">
        <f t="shared" si="69"/>
        <v>zduńskowolski</v>
      </c>
      <c r="E372" t="str">
        <f t="shared" si="64"/>
        <v>łódzkie</v>
      </c>
      <c r="F372">
        <v>6</v>
      </c>
      <c r="G372" t="str">
        <f>"OSP w Przatowie, Przatów Dolny 23, 98-240 Szadek"</f>
        <v>OSP w Przatowie, Przatów Dolny 23, 98-240 Szadek</v>
      </c>
      <c r="H372">
        <v>340</v>
      </c>
      <c r="I372">
        <v>340</v>
      </c>
      <c r="J372">
        <v>0</v>
      </c>
      <c r="K372">
        <v>240</v>
      </c>
      <c r="L372">
        <v>202</v>
      </c>
      <c r="M372">
        <v>38</v>
      </c>
      <c r="N372">
        <v>38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38</v>
      </c>
      <c r="Z372">
        <v>0</v>
      </c>
      <c r="AA372">
        <v>0</v>
      </c>
      <c r="AB372">
        <v>38</v>
      </c>
      <c r="AC372">
        <v>2</v>
      </c>
      <c r="AD372">
        <v>36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3</v>
      </c>
      <c r="BD372">
        <v>2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1</v>
      </c>
      <c r="BK372">
        <v>0</v>
      </c>
      <c r="BL372">
        <v>0</v>
      </c>
      <c r="BM372">
        <v>0</v>
      </c>
      <c r="BN372">
        <v>3</v>
      </c>
      <c r="BO372">
        <v>14</v>
      </c>
      <c r="BP372">
        <v>9</v>
      </c>
      <c r="BQ372">
        <v>0</v>
      </c>
      <c r="BR372">
        <v>0</v>
      </c>
      <c r="BS372">
        <v>4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1</v>
      </c>
      <c r="BZ372">
        <v>14</v>
      </c>
      <c r="CA372">
        <v>2</v>
      </c>
      <c r="CB372">
        <v>0</v>
      </c>
      <c r="CC372">
        <v>1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1</v>
      </c>
      <c r="CK372">
        <v>0</v>
      </c>
      <c r="CL372">
        <v>2</v>
      </c>
      <c r="CM372">
        <v>1</v>
      </c>
      <c r="CN372">
        <v>1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1</v>
      </c>
      <c r="CY372">
        <v>2</v>
      </c>
      <c r="CZ372">
        <v>1</v>
      </c>
      <c r="DA372">
        <v>0</v>
      </c>
      <c r="DB372">
        <v>0</v>
      </c>
      <c r="DC372">
        <v>0</v>
      </c>
      <c r="DD372">
        <v>1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2</v>
      </c>
      <c r="DK372">
        <v>4</v>
      </c>
      <c r="DL372">
        <v>2</v>
      </c>
      <c r="DM372">
        <v>2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4</v>
      </c>
      <c r="DW372">
        <v>8</v>
      </c>
      <c r="DX372">
        <v>3</v>
      </c>
      <c r="DY372">
        <v>0</v>
      </c>
      <c r="DZ372">
        <v>0</v>
      </c>
      <c r="EA372">
        <v>2</v>
      </c>
      <c r="EB372">
        <v>0</v>
      </c>
      <c r="EC372">
        <v>1</v>
      </c>
      <c r="ED372">
        <v>1</v>
      </c>
      <c r="EE372">
        <v>0</v>
      </c>
      <c r="EF372">
        <v>0</v>
      </c>
      <c r="EG372">
        <v>1</v>
      </c>
      <c r="EH372">
        <v>8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1</v>
      </c>
      <c r="ET372">
        <v>1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1</v>
      </c>
      <c r="FE372">
        <v>1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1</v>
      </c>
      <c r="FO372">
        <v>0</v>
      </c>
      <c r="FP372">
        <v>1</v>
      </c>
    </row>
    <row r="373" spans="1:172" ht="14.25">
      <c r="A373">
        <v>368</v>
      </c>
      <c r="B373" t="str">
        <f t="shared" si="70"/>
        <v>101902</v>
      </c>
      <c r="C373" t="str">
        <f t="shared" si="71"/>
        <v>Szadek</v>
      </c>
      <c r="D373" t="str">
        <f t="shared" si="69"/>
        <v>zduńskowolski</v>
      </c>
      <c r="E373" t="str">
        <f t="shared" si="64"/>
        <v>łódzkie</v>
      </c>
      <c r="F373">
        <v>7</v>
      </c>
      <c r="G373" t="str">
        <f>"Miejsko-Gminny Ośrodek Kultury w Szadkowicach-Ogrodzimiu, Widawska 16, Szadkowice-Ogrodzim, 98-240 Szadek"</f>
        <v>Miejsko-Gminny Ośrodek Kultury w Szadkowicach-Ogrodzimiu, Widawska 16, Szadkowice-Ogrodzim, 98-240 Szadek</v>
      </c>
      <c r="H373">
        <v>1302</v>
      </c>
      <c r="I373">
        <v>1302</v>
      </c>
      <c r="J373">
        <v>0</v>
      </c>
      <c r="K373">
        <v>910</v>
      </c>
      <c r="L373">
        <v>650</v>
      </c>
      <c r="M373">
        <v>260</v>
      </c>
      <c r="N373">
        <v>260</v>
      </c>
      <c r="O373">
        <v>0</v>
      </c>
      <c r="P373">
        <v>0</v>
      </c>
      <c r="Q373">
        <v>2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260</v>
      </c>
      <c r="Z373">
        <v>0</v>
      </c>
      <c r="AA373">
        <v>0</v>
      </c>
      <c r="AB373">
        <v>260</v>
      </c>
      <c r="AC373">
        <v>12</v>
      </c>
      <c r="AD373">
        <v>248</v>
      </c>
      <c r="AE373">
        <v>6</v>
      </c>
      <c r="AF373">
        <v>0</v>
      </c>
      <c r="AG373">
        <v>3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1</v>
      </c>
      <c r="AN373">
        <v>0</v>
      </c>
      <c r="AO373">
        <v>2</v>
      </c>
      <c r="AP373">
        <v>6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23</v>
      </c>
      <c r="BD373">
        <v>12</v>
      </c>
      <c r="BE373">
        <v>3</v>
      </c>
      <c r="BF373">
        <v>2</v>
      </c>
      <c r="BG373">
        <v>4</v>
      </c>
      <c r="BH373">
        <v>0</v>
      </c>
      <c r="BI373">
        <v>1</v>
      </c>
      <c r="BJ373">
        <v>0</v>
      </c>
      <c r="BK373">
        <v>0</v>
      </c>
      <c r="BL373">
        <v>0</v>
      </c>
      <c r="BM373">
        <v>1</v>
      </c>
      <c r="BN373">
        <v>23</v>
      </c>
      <c r="BO373">
        <v>71</v>
      </c>
      <c r="BP373">
        <v>41</v>
      </c>
      <c r="BQ373">
        <v>8</v>
      </c>
      <c r="BR373">
        <v>0</v>
      </c>
      <c r="BS373">
        <v>18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4</v>
      </c>
      <c r="BZ373">
        <v>71</v>
      </c>
      <c r="CA373">
        <v>7</v>
      </c>
      <c r="CB373">
        <v>1</v>
      </c>
      <c r="CC373">
        <v>3</v>
      </c>
      <c r="CD373">
        <v>0</v>
      </c>
      <c r="CE373">
        <v>0</v>
      </c>
      <c r="CF373">
        <v>3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7</v>
      </c>
      <c r="CM373">
        <v>4</v>
      </c>
      <c r="CN373">
        <v>2</v>
      </c>
      <c r="CO373">
        <v>1</v>
      </c>
      <c r="CP373">
        <v>1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4</v>
      </c>
      <c r="CY373">
        <v>15</v>
      </c>
      <c r="CZ373">
        <v>10</v>
      </c>
      <c r="DA373">
        <v>1</v>
      </c>
      <c r="DB373">
        <v>1</v>
      </c>
      <c r="DC373">
        <v>2</v>
      </c>
      <c r="DD373">
        <v>1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15</v>
      </c>
      <c r="DK373">
        <v>48</v>
      </c>
      <c r="DL373">
        <v>25</v>
      </c>
      <c r="DM373">
        <v>15</v>
      </c>
      <c r="DN373">
        <v>1</v>
      </c>
      <c r="DO373">
        <v>4</v>
      </c>
      <c r="DP373">
        <v>1</v>
      </c>
      <c r="DQ373">
        <v>2</v>
      </c>
      <c r="DR373">
        <v>0</v>
      </c>
      <c r="DS373">
        <v>0</v>
      </c>
      <c r="DT373">
        <v>0</v>
      </c>
      <c r="DU373">
        <v>0</v>
      </c>
      <c r="DV373">
        <v>48</v>
      </c>
      <c r="DW373">
        <v>70</v>
      </c>
      <c r="DX373">
        <v>32</v>
      </c>
      <c r="DY373">
        <v>2</v>
      </c>
      <c r="DZ373">
        <v>0</v>
      </c>
      <c r="EA373">
        <v>11</v>
      </c>
      <c r="EB373">
        <v>3</v>
      </c>
      <c r="EC373">
        <v>0</v>
      </c>
      <c r="ED373">
        <v>1</v>
      </c>
      <c r="EE373">
        <v>15</v>
      </c>
      <c r="EF373">
        <v>1</v>
      </c>
      <c r="EG373">
        <v>5</v>
      </c>
      <c r="EH373">
        <v>70</v>
      </c>
      <c r="EI373">
        <v>4</v>
      </c>
      <c r="EJ373">
        <v>1</v>
      </c>
      <c r="EK373">
        <v>2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1</v>
      </c>
      <c r="ER373">
        <v>4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</row>
    <row r="374" spans="1:172" ht="14.25">
      <c r="A374">
        <v>369</v>
      </c>
      <c r="B374" t="str">
        <f t="shared" si="70"/>
        <v>101902</v>
      </c>
      <c r="C374" t="str">
        <f t="shared" si="71"/>
        <v>Szadek</v>
      </c>
      <c r="D374" t="str">
        <f t="shared" si="69"/>
        <v>zduńskowolski</v>
      </c>
      <c r="E374" t="str">
        <f t="shared" si="64"/>
        <v>łódzkie</v>
      </c>
      <c r="F374">
        <v>8</v>
      </c>
      <c r="G374" t="str">
        <f>"Dom Pomocy Społecznej, Przatówek 1, 98-240 Szadek"</f>
        <v>Dom Pomocy Społecznej, Przatówek 1, 98-240 Szadek</v>
      </c>
      <c r="H374">
        <v>33</v>
      </c>
      <c r="I374">
        <v>33</v>
      </c>
      <c r="J374">
        <v>0</v>
      </c>
      <c r="K374">
        <v>33</v>
      </c>
      <c r="L374">
        <v>29</v>
      </c>
      <c r="M374">
        <v>4</v>
      </c>
      <c r="N374">
        <v>4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4</v>
      </c>
      <c r="Z374">
        <v>0</v>
      </c>
      <c r="AA374">
        <v>0</v>
      </c>
      <c r="AB374">
        <v>4</v>
      </c>
      <c r="AC374">
        <v>0</v>
      </c>
      <c r="AD374">
        <v>4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4</v>
      </c>
      <c r="BP374">
        <v>1</v>
      </c>
      <c r="BQ374">
        <v>1</v>
      </c>
      <c r="BR374">
        <v>1</v>
      </c>
      <c r="BS374">
        <v>0</v>
      </c>
      <c r="BT374">
        <v>0</v>
      </c>
      <c r="BU374">
        <v>1</v>
      </c>
      <c r="BV374">
        <v>0</v>
      </c>
      <c r="BW374">
        <v>0</v>
      </c>
      <c r="BX374">
        <v>0</v>
      </c>
      <c r="BY374">
        <v>0</v>
      </c>
      <c r="BZ374">
        <v>4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</row>
    <row r="375" spans="1:172" ht="14.25">
      <c r="A375">
        <v>370</v>
      </c>
      <c r="B375" t="str">
        <f>"101903"</f>
        <v>101903</v>
      </c>
      <c r="C375" t="str">
        <f>"Zapolice"</f>
        <v>Zapolice</v>
      </c>
      <c r="D375" t="str">
        <f t="shared" si="69"/>
        <v>zduńskowolski</v>
      </c>
      <c r="E375" t="str">
        <f t="shared" si="64"/>
        <v>łódzkie</v>
      </c>
      <c r="F375">
        <v>1</v>
      </c>
      <c r="G375" t="str">
        <f>"Remiza OSP, Plac Strażacki 4, 98-161 Zapolice"</f>
        <v>Remiza OSP, Plac Strażacki 4, 98-161 Zapolice</v>
      </c>
      <c r="H375">
        <v>1981</v>
      </c>
      <c r="I375">
        <v>1981</v>
      </c>
      <c r="J375">
        <v>0</v>
      </c>
      <c r="K375">
        <v>1400</v>
      </c>
      <c r="L375">
        <v>1099</v>
      </c>
      <c r="M375">
        <v>301</v>
      </c>
      <c r="N375">
        <v>301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301</v>
      </c>
      <c r="Z375">
        <v>0</v>
      </c>
      <c r="AA375">
        <v>0</v>
      </c>
      <c r="AB375">
        <v>301</v>
      </c>
      <c r="AC375">
        <v>7</v>
      </c>
      <c r="AD375">
        <v>294</v>
      </c>
      <c r="AE375">
        <v>4</v>
      </c>
      <c r="AF375">
        <v>1</v>
      </c>
      <c r="AG375">
        <v>2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1</v>
      </c>
      <c r="AP375">
        <v>4</v>
      </c>
      <c r="AQ375">
        <v>8</v>
      </c>
      <c r="AR375">
        <v>2</v>
      </c>
      <c r="AS375">
        <v>1</v>
      </c>
      <c r="AT375">
        <v>1</v>
      </c>
      <c r="AU375">
        <v>2</v>
      </c>
      <c r="AV375">
        <v>0</v>
      </c>
      <c r="AW375">
        <v>0</v>
      </c>
      <c r="AX375">
        <v>0</v>
      </c>
      <c r="AY375">
        <v>0</v>
      </c>
      <c r="AZ375">
        <v>1</v>
      </c>
      <c r="BA375">
        <v>1</v>
      </c>
      <c r="BB375">
        <v>8</v>
      </c>
      <c r="BC375">
        <v>14</v>
      </c>
      <c r="BD375">
        <v>5</v>
      </c>
      <c r="BE375">
        <v>3</v>
      </c>
      <c r="BF375">
        <v>0</v>
      </c>
      <c r="BG375">
        <v>2</v>
      </c>
      <c r="BH375">
        <v>0</v>
      </c>
      <c r="BI375">
        <v>0</v>
      </c>
      <c r="BJ375">
        <v>0</v>
      </c>
      <c r="BK375">
        <v>0</v>
      </c>
      <c r="BL375">
        <v>2</v>
      </c>
      <c r="BM375">
        <v>2</v>
      </c>
      <c r="BN375">
        <v>14</v>
      </c>
      <c r="BO375">
        <v>131</v>
      </c>
      <c r="BP375">
        <v>97</v>
      </c>
      <c r="BQ375">
        <v>5</v>
      </c>
      <c r="BR375">
        <v>1</v>
      </c>
      <c r="BS375">
        <v>25</v>
      </c>
      <c r="BT375">
        <v>1</v>
      </c>
      <c r="BU375">
        <v>0</v>
      </c>
      <c r="BV375">
        <v>1</v>
      </c>
      <c r="BW375">
        <v>1</v>
      </c>
      <c r="BX375">
        <v>0</v>
      </c>
      <c r="BY375">
        <v>0</v>
      </c>
      <c r="BZ375">
        <v>131</v>
      </c>
      <c r="CA375">
        <v>3</v>
      </c>
      <c r="CB375">
        <v>1</v>
      </c>
      <c r="CC375">
        <v>2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3</v>
      </c>
      <c r="CM375">
        <v>5</v>
      </c>
      <c r="CN375">
        <v>3</v>
      </c>
      <c r="CO375">
        <v>1</v>
      </c>
      <c r="CP375">
        <v>1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5</v>
      </c>
      <c r="CY375">
        <v>19</v>
      </c>
      <c r="CZ375">
        <v>13</v>
      </c>
      <c r="DA375">
        <v>2</v>
      </c>
      <c r="DB375">
        <v>0</v>
      </c>
      <c r="DC375">
        <v>0</v>
      </c>
      <c r="DD375">
        <v>0</v>
      </c>
      <c r="DE375">
        <v>1</v>
      </c>
      <c r="DF375">
        <v>0</v>
      </c>
      <c r="DG375">
        <v>0</v>
      </c>
      <c r="DH375">
        <v>1</v>
      </c>
      <c r="DI375">
        <v>2</v>
      </c>
      <c r="DJ375">
        <v>19</v>
      </c>
      <c r="DK375">
        <v>64</v>
      </c>
      <c r="DL375">
        <v>39</v>
      </c>
      <c r="DM375">
        <v>19</v>
      </c>
      <c r="DN375">
        <v>1</v>
      </c>
      <c r="DO375">
        <v>5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64</v>
      </c>
      <c r="DW375">
        <v>40</v>
      </c>
      <c r="DX375">
        <v>18</v>
      </c>
      <c r="DY375">
        <v>4</v>
      </c>
      <c r="DZ375">
        <v>0</v>
      </c>
      <c r="EA375">
        <v>4</v>
      </c>
      <c r="EB375">
        <v>2</v>
      </c>
      <c r="EC375">
        <v>7</v>
      </c>
      <c r="ED375">
        <v>3</v>
      </c>
      <c r="EE375">
        <v>1</v>
      </c>
      <c r="EF375">
        <v>0</v>
      </c>
      <c r="EG375">
        <v>1</v>
      </c>
      <c r="EH375">
        <v>40</v>
      </c>
      <c r="EI375">
        <v>4</v>
      </c>
      <c r="EJ375">
        <v>1</v>
      </c>
      <c r="EK375">
        <v>1</v>
      </c>
      <c r="EL375">
        <v>0</v>
      </c>
      <c r="EM375">
        <v>1</v>
      </c>
      <c r="EN375">
        <v>0</v>
      </c>
      <c r="EO375">
        <v>1</v>
      </c>
      <c r="EP375">
        <v>0</v>
      </c>
      <c r="EQ375">
        <v>0</v>
      </c>
      <c r="ER375">
        <v>4</v>
      </c>
      <c r="ES375">
        <v>2</v>
      </c>
      <c r="ET375">
        <v>1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1</v>
      </c>
      <c r="FB375">
        <v>0</v>
      </c>
      <c r="FC375">
        <v>0</v>
      </c>
      <c r="FD375">
        <v>2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</row>
    <row r="376" spans="1:172" ht="14.25">
      <c r="A376">
        <v>371</v>
      </c>
      <c r="B376" t="str">
        <f>"101903"</f>
        <v>101903</v>
      </c>
      <c r="C376" t="str">
        <f>"Zapolice"</f>
        <v>Zapolice</v>
      </c>
      <c r="D376" t="str">
        <f t="shared" si="69"/>
        <v>zduńskowolski</v>
      </c>
      <c r="E376" t="str">
        <f t="shared" si="64"/>
        <v>łódzkie</v>
      </c>
      <c r="F376">
        <v>2</v>
      </c>
      <c r="G376" t="str">
        <f>"Remiza OSP, Paprotnia 16, 98-161 Zapolice"</f>
        <v>Remiza OSP, Paprotnia 16, 98-161 Zapolice</v>
      </c>
      <c r="H376">
        <v>718</v>
      </c>
      <c r="I376">
        <v>718</v>
      </c>
      <c r="J376">
        <v>0</v>
      </c>
      <c r="K376">
        <v>500</v>
      </c>
      <c r="L376">
        <v>355</v>
      </c>
      <c r="M376">
        <v>145</v>
      </c>
      <c r="N376">
        <v>145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145</v>
      </c>
      <c r="Z376">
        <v>0</v>
      </c>
      <c r="AA376">
        <v>0</v>
      </c>
      <c r="AB376">
        <v>145</v>
      </c>
      <c r="AC376">
        <v>8</v>
      </c>
      <c r="AD376">
        <v>137</v>
      </c>
      <c r="AE376">
        <v>12</v>
      </c>
      <c r="AF376">
        <v>12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12</v>
      </c>
      <c r="AQ376">
        <v>2</v>
      </c>
      <c r="AR376">
        <v>2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2</v>
      </c>
      <c r="BC376">
        <v>6</v>
      </c>
      <c r="BD376">
        <v>2</v>
      </c>
      <c r="BE376">
        <v>0</v>
      </c>
      <c r="BF376">
        <v>0</v>
      </c>
      <c r="BG376">
        <v>2</v>
      </c>
      <c r="BH376">
        <v>0</v>
      </c>
      <c r="BI376">
        <v>0</v>
      </c>
      <c r="BJ376">
        <v>0</v>
      </c>
      <c r="BK376">
        <v>0</v>
      </c>
      <c r="BL376">
        <v>2</v>
      </c>
      <c r="BM376">
        <v>0</v>
      </c>
      <c r="BN376">
        <v>6</v>
      </c>
      <c r="BO376">
        <v>72</v>
      </c>
      <c r="BP376">
        <v>43</v>
      </c>
      <c r="BQ376">
        <v>1</v>
      </c>
      <c r="BR376">
        <v>1</v>
      </c>
      <c r="BS376">
        <v>24</v>
      </c>
      <c r="BT376">
        <v>1</v>
      </c>
      <c r="BU376">
        <v>0</v>
      </c>
      <c r="BV376">
        <v>1</v>
      </c>
      <c r="BW376">
        <v>0</v>
      </c>
      <c r="BX376">
        <v>1</v>
      </c>
      <c r="BY376">
        <v>0</v>
      </c>
      <c r="BZ376">
        <v>72</v>
      </c>
      <c r="CA376">
        <v>2</v>
      </c>
      <c r="CB376">
        <v>0</v>
      </c>
      <c r="CC376">
        <v>0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1</v>
      </c>
      <c r="CK376">
        <v>0</v>
      </c>
      <c r="CL376">
        <v>2</v>
      </c>
      <c r="CM376">
        <v>3</v>
      </c>
      <c r="CN376">
        <v>3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3</v>
      </c>
      <c r="CY376">
        <v>4</v>
      </c>
      <c r="CZ376">
        <v>4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4</v>
      </c>
      <c r="DK376">
        <v>31</v>
      </c>
      <c r="DL376">
        <v>19</v>
      </c>
      <c r="DM376">
        <v>7</v>
      </c>
      <c r="DN376">
        <v>1</v>
      </c>
      <c r="DO376">
        <v>2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2</v>
      </c>
      <c r="DV376">
        <v>31</v>
      </c>
      <c r="DW376">
        <v>4</v>
      </c>
      <c r="DX376">
        <v>0</v>
      </c>
      <c r="DY376">
        <v>0</v>
      </c>
      <c r="DZ376">
        <v>1</v>
      </c>
      <c r="EA376">
        <v>0</v>
      </c>
      <c r="EB376">
        <v>0</v>
      </c>
      <c r="EC376">
        <v>1</v>
      </c>
      <c r="ED376">
        <v>1</v>
      </c>
      <c r="EE376">
        <v>0</v>
      </c>
      <c r="EF376">
        <v>0</v>
      </c>
      <c r="EG376">
        <v>1</v>
      </c>
      <c r="EH376">
        <v>4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1</v>
      </c>
      <c r="ET376">
        <v>0</v>
      </c>
      <c r="EU376">
        <v>0</v>
      </c>
      <c r="EV376">
        <v>1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1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</row>
    <row r="377" spans="1:172" ht="14.25">
      <c r="A377">
        <v>372</v>
      </c>
      <c r="B377" t="str">
        <f>"101903"</f>
        <v>101903</v>
      </c>
      <c r="C377" t="str">
        <f>"Zapolice"</f>
        <v>Zapolice</v>
      </c>
      <c r="D377" t="str">
        <f t="shared" si="69"/>
        <v>zduńskowolski</v>
      </c>
      <c r="E377" t="str">
        <f t="shared" si="64"/>
        <v>łódzkie</v>
      </c>
      <c r="F377">
        <v>3</v>
      </c>
      <c r="G377" t="str">
        <f>"Szkoła Społeczna, Rembieszów 87, 98-161 Zapolice"</f>
        <v>Szkoła Społeczna, Rembieszów 87, 98-161 Zapolice</v>
      </c>
      <c r="H377">
        <v>787</v>
      </c>
      <c r="I377">
        <v>787</v>
      </c>
      <c r="J377">
        <v>0</v>
      </c>
      <c r="K377">
        <v>560</v>
      </c>
      <c r="L377">
        <v>433</v>
      </c>
      <c r="M377">
        <v>127</v>
      </c>
      <c r="N377">
        <v>127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127</v>
      </c>
      <c r="Z377">
        <v>0</v>
      </c>
      <c r="AA377">
        <v>0</v>
      </c>
      <c r="AB377">
        <v>127</v>
      </c>
      <c r="AC377">
        <v>5</v>
      </c>
      <c r="AD377">
        <v>122</v>
      </c>
      <c r="AE377">
        <v>3</v>
      </c>
      <c r="AF377">
        <v>2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1</v>
      </c>
      <c r="AO377">
        <v>0</v>
      </c>
      <c r="AP377">
        <v>3</v>
      </c>
      <c r="AQ377">
        <v>1</v>
      </c>
      <c r="AR377">
        <v>0</v>
      </c>
      <c r="AS377">
        <v>0</v>
      </c>
      <c r="AT377">
        <v>0</v>
      </c>
      <c r="AU377">
        <v>1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1</v>
      </c>
      <c r="BC377">
        <v>13</v>
      </c>
      <c r="BD377">
        <v>3</v>
      </c>
      <c r="BE377">
        <v>2</v>
      </c>
      <c r="BF377">
        <v>2</v>
      </c>
      <c r="BG377">
        <v>3</v>
      </c>
      <c r="BH377">
        <v>0</v>
      </c>
      <c r="BI377">
        <v>1</v>
      </c>
      <c r="BJ377">
        <v>0</v>
      </c>
      <c r="BK377">
        <v>0</v>
      </c>
      <c r="BL377">
        <v>0</v>
      </c>
      <c r="BM377">
        <v>2</v>
      </c>
      <c r="BN377">
        <v>13</v>
      </c>
      <c r="BO377">
        <v>46</v>
      </c>
      <c r="BP377">
        <v>38</v>
      </c>
      <c r="BQ377">
        <v>0</v>
      </c>
      <c r="BR377">
        <v>2</v>
      </c>
      <c r="BS377">
        <v>6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46</v>
      </c>
      <c r="CA377">
        <v>7</v>
      </c>
      <c r="CB377">
        <v>3</v>
      </c>
      <c r="CC377">
        <v>1</v>
      </c>
      <c r="CD377">
        <v>1</v>
      </c>
      <c r="CE377">
        <v>0</v>
      </c>
      <c r="CF377">
        <v>0</v>
      </c>
      <c r="CG377">
        <v>1</v>
      </c>
      <c r="CH377">
        <v>0</v>
      </c>
      <c r="CI377">
        <v>0</v>
      </c>
      <c r="CJ377">
        <v>0</v>
      </c>
      <c r="CK377">
        <v>1</v>
      </c>
      <c r="CL377">
        <v>7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7</v>
      </c>
      <c r="CZ377">
        <v>2</v>
      </c>
      <c r="DA377">
        <v>2</v>
      </c>
      <c r="DB377">
        <v>0</v>
      </c>
      <c r="DC377">
        <v>1</v>
      </c>
      <c r="DD377">
        <v>0</v>
      </c>
      <c r="DE377">
        <v>0</v>
      </c>
      <c r="DF377">
        <v>1</v>
      </c>
      <c r="DG377">
        <v>1</v>
      </c>
      <c r="DH377">
        <v>0</v>
      </c>
      <c r="DI377">
        <v>0</v>
      </c>
      <c r="DJ377">
        <v>7</v>
      </c>
      <c r="DK377">
        <v>24</v>
      </c>
      <c r="DL377">
        <v>10</v>
      </c>
      <c r="DM377">
        <v>10</v>
      </c>
      <c r="DN377">
        <v>2</v>
      </c>
      <c r="DO377">
        <v>1</v>
      </c>
      <c r="DP377">
        <v>1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24</v>
      </c>
      <c r="DW377">
        <v>16</v>
      </c>
      <c r="DX377">
        <v>7</v>
      </c>
      <c r="DY377">
        <v>2</v>
      </c>
      <c r="DZ377">
        <v>0</v>
      </c>
      <c r="EA377">
        <v>3</v>
      </c>
      <c r="EB377">
        <v>0</v>
      </c>
      <c r="EC377">
        <v>2</v>
      </c>
      <c r="ED377">
        <v>1</v>
      </c>
      <c r="EE377">
        <v>1</v>
      </c>
      <c r="EF377">
        <v>0</v>
      </c>
      <c r="EG377">
        <v>0</v>
      </c>
      <c r="EH377">
        <v>16</v>
      </c>
      <c r="EI377">
        <v>1</v>
      </c>
      <c r="EJ377">
        <v>0</v>
      </c>
      <c r="EK377">
        <v>1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1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4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3</v>
      </c>
      <c r="FP377">
        <v>4</v>
      </c>
    </row>
    <row r="378" spans="1:172" ht="14.25">
      <c r="A378">
        <v>373</v>
      </c>
      <c r="B378" t="str">
        <f>"101903"</f>
        <v>101903</v>
      </c>
      <c r="C378" t="str">
        <f>"Zapolice"</f>
        <v>Zapolice</v>
      </c>
      <c r="D378" t="str">
        <f t="shared" si="69"/>
        <v>zduńskowolski</v>
      </c>
      <c r="E378" t="str">
        <f t="shared" si="64"/>
        <v>łódzkie</v>
      </c>
      <c r="F378">
        <v>4</v>
      </c>
      <c r="G378" t="str">
        <f>"Świetlica wiejska, Młodawin Górny 19A, 98-161 Zapolice"</f>
        <v>Świetlica wiejska, Młodawin Górny 19A, 98-161 Zapolice</v>
      </c>
      <c r="H378">
        <v>603</v>
      </c>
      <c r="I378">
        <v>603</v>
      </c>
      <c r="J378">
        <v>0</v>
      </c>
      <c r="K378">
        <v>420</v>
      </c>
      <c r="L378">
        <v>342</v>
      </c>
      <c r="M378">
        <v>78</v>
      </c>
      <c r="N378">
        <v>78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78</v>
      </c>
      <c r="Z378">
        <v>0</v>
      </c>
      <c r="AA378">
        <v>0</v>
      </c>
      <c r="AB378">
        <v>78</v>
      </c>
      <c r="AC378">
        <v>1</v>
      </c>
      <c r="AD378">
        <v>77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2</v>
      </c>
      <c r="BD378">
        <v>1</v>
      </c>
      <c r="BE378">
        <v>0</v>
      </c>
      <c r="BF378">
        <v>0</v>
      </c>
      <c r="BG378">
        <v>1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2</v>
      </c>
      <c r="BO378">
        <v>51</v>
      </c>
      <c r="BP378">
        <v>25</v>
      </c>
      <c r="BQ378">
        <v>2</v>
      </c>
      <c r="BR378">
        <v>1</v>
      </c>
      <c r="BS378">
        <v>19</v>
      </c>
      <c r="BT378">
        <v>1</v>
      </c>
      <c r="BU378">
        <v>0</v>
      </c>
      <c r="BV378">
        <v>0</v>
      </c>
      <c r="BW378">
        <v>0</v>
      </c>
      <c r="BX378">
        <v>0</v>
      </c>
      <c r="BY378">
        <v>3</v>
      </c>
      <c r="BZ378">
        <v>51</v>
      </c>
      <c r="CA378">
        <v>1</v>
      </c>
      <c r="CB378">
        <v>0</v>
      </c>
      <c r="CC378">
        <v>0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1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2</v>
      </c>
      <c r="CZ378">
        <v>1</v>
      </c>
      <c r="DA378">
        <v>1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2</v>
      </c>
      <c r="DK378">
        <v>15</v>
      </c>
      <c r="DL378">
        <v>10</v>
      </c>
      <c r="DM378">
        <v>2</v>
      </c>
      <c r="DN378">
        <v>0</v>
      </c>
      <c r="DO378">
        <v>1</v>
      </c>
      <c r="DP378">
        <v>0</v>
      </c>
      <c r="DQ378">
        <v>0</v>
      </c>
      <c r="DR378">
        <v>0</v>
      </c>
      <c r="DS378">
        <v>1</v>
      </c>
      <c r="DT378">
        <v>0</v>
      </c>
      <c r="DU378">
        <v>1</v>
      </c>
      <c r="DV378">
        <v>15</v>
      </c>
      <c r="DW378">
        <v>5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4</v>
      </c>
      <c r="EF378">
        <v>1</v>
      </c>
      <c r="EG378">
        <v>0</v>
      </c>
      <c r="EH378">
        <v>5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1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1</v>
      </c>
      <c r="FP378">
        <v>1</v>
      </c>
    </row>
    <row r="379" spans="1:172" ht="14.25">
      <c r="A379">
        <v>374</v>
      </c>
      <c r="B379" t="str">
        <f aca="true" t="shared" si="72" ref="B379:B385">"101904"</f>
        <v>101904</v>
      </c>
      <c r="C379" t="str">
        <f aca="true" t="shared" si="73" ref="C379:C385">"Zduńska Wola"</f>
        <v>Zduńska Wola</v>
      </c>
      <c r="D379" t="str">
        <f t="shared" si="69"/>
        <v>zduńskowolski</v>
      </c>
      <c r="E379" t="str">
        <f t="shared" si="64"/>
        <v>łódzkie</v>
      </c>
      <c r="F379">
        <v>1</v>
      </c>
      <c r="G379" t="str">
        <f>"Szkoła Podstawowa w Czechach, Czechy 142, 98-220 Zduńska Wola"</f>
        <v>Szkoła Podstawowa w Czechach, Czechy 142, 98-220 Zduńska Wola</v>
      </c>
      <c r="H379">
        <v>956</v>
      </c>
      <c r="I379">
        <v>956</v>
      </c>
      <c r="J379">
        <v>0</v>
      </c>
      <c r="K379">
        <v>670</v>
      </c>
      <c r="L379">
        <v>538</v>
      </c>
      <c r="M379">
        <v>132</v>
      </c>
      <c r="N379">
        <v>132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132</v>
      </c>
      <c r="Z379">
        <v>0</v>
      </c>
      <c r="AA379">
        <v>0</v>
      </c>
      <c r="AB379">
        <v>132</v>
      </c>
      <c r="AC379">
        <v>3</v>
      </c>
      <c r="AD379">
        <v>129</v>
      </c>
      <c r="AE379">
        <v>3</v>
      </c>
      <c r="AF379">
        <v>1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1</v>
      </c>
      <c r="AO379">
        <v>1</v>
      </c>
      <c r="AP379">
        <v>3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6</v>
      </c>
      <c r="BD379">
        <v>3</v>
      </c>
      <c r="BE379">
        <v>1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2</v>
      </c>
      <c r="BN379">
        <v>6</v>
      </c>
      <c r="BO379">
        <v>68</v>
      </c>
      <c r="BP379">
        <v>48</v>
      </c>
      <c r="BQ379">
        <v>4</v>
      </c>
      <c r="BR379">
        <v>2</v>
      </c>
      <c r="BS379">
        <v>9</v>
      </c>
      <c r="BT379">
        <v>0</v>
      </c>
      <c r="BU379">
        <v>0</v>
      </c>
      <c r="BV379">
        <v>2</v>
      </c>
      <c r="BW379">
        <v>1</v>
      </c>
      <c r="BX379">
        <v>0</v>
      </c>
      <c r="BY379">
        <v>2</v>
      </c>
      <c r="BZ379">
        <v>68</v>
      </c>
      <c r="CA379">
        <v>2</v>
      </c>
      <c r="CB379">
        <v>0</v>
      </c>
      <c r="CC379">
        <v>0</v>
      </c>
      <c r="CD379">
        <v>0</v>
      </c>
      <c r="CE379">
        <v>1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0</v>
      </c>
      <c r="CL379">
        <v>2</v>
      </c>
      <c r="CM379">
        <v>6</v>
      </c>
      <c r="CN379">
        <v>5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6</v>
      </c>
      <c r="CY379">
        <v>12</v>
      </c>
      <c r="CZ379">
        <v>7</v>
      </c>
      <c r="DA379">
        <v>1</v>
      </c>
      <c r="DB379">
        <v>1</v>
      </c>
      <c r="DC379">
        <v>0</v>
      </c>
      <c r="DD379">
        <v>1</v>
      </c>
      <c r="DE379">
        <v>0</v>
      </c>
      <c r="DF379">
        <v>1</v>
      </c>
      <c r="DG379">
        <v>0</v>
      </c>
      <c r="DH379">
        <v>0</v>
      </c>
      <c r="DI379">
        <v>1</v>
      </c>
      <c r="DJ379">
        <v>12</v>
      </c>
      <c r="DK379">
        <v>23</v>
      </c>
      <c r="DL379">
        <v>13</v>
      </c>
      <c r="DM379">
        <v>6</v>
      </c>
      <c r="DN379">
        <v>0</v>
      </c>
      <c r="DO379">
        <v>4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23</v>
      </c>
      <c r="DW379">
        <v>8</v>
      </c>
      <c r="DX379">
        <v>5</v>
      </c>
      <c r="DY379">
        <v>0</v>
      </c>
      <c r="DZ379">
        <v>0</v>
      </c>
      <c r="EA379">
        <v>2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0</v>
      </c>
      <c r="EH379">
        <v>8</v>
      </c>
      <c r="EI379">
        <v>1</v>
      </c>
      <c r="EJ379">
        <v>0</v>
      </c>
      <c r="EK379">
        <v>1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1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</row>
    <row r="380" spans="1:172" ht="14.25">
      <c r="A380">
        <v>375</v>
      </c>
      <c r="B380" t="str">
        <f t="shared" si="72"/>
        <v>101904</v>
      </c>
      <c r="C380" t="str">
        <f t="shared" si="73"/>
        <v>Zduńska Wola</v>
      </c>
      <c r="D380" t="str">
        <f t="shared" si="69"/>
        <v>zduńskowolski</v>
      </c>
      <c r="E380" t="str">
        <f t="shared" si="64"/>
        <v>łódzkie</v>
      </c>
      <c r="F380">
        <v>2</v>
      </c>
      <c r="G380" t="str">
        <f>"Szkoła Podstawowa w Izabelowie, Izabelów 50, 98-220 Zduńska Wola"</f>
        <v>Szkoła Podstawowa w Izabelowie, Izabelów 50, 98-220 Zduńska Wola</v>
      </c>
      <c r="H380">
        <v>1481</v>
      </c>
      <c r="I380">
        <v>1481</v>
      </c>
      <c r="J380">
        <v>0</v>
      </c>
      <c r="K380">
        <v>1040</v>
      </c>
      <c r="L380">
        <v>766</v>
      </c>
      <c r="M380">
        <v>274</v>
      </c>
      <c r="N380">
        <v>274</v>
      </c>
      <c r="O380">
        <v>0</v>
      </c>
      <c r="P380">
        <v>0</v>
      </c>
      <c r="Q380">
        <v>3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274</v>
      </c>
      <c r="Z380">
        <v>0</v>
      </c>
      <c r="AA380">
        <v>0</v>
      </c>
      <c r="AB380">
        <v>274</v>
      </c>
      <c r="AC380">
        <v>23</v>
      </c>
      <c r="AD380">
        <v>251</v>
      </c>
      <c r="AE380">
        <v>4</v>
      </c>
      <c r="AF380">
        <v>1</v>
      </c>
      <c r="AG380">
        <v>2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1</v>
      </c>
      <c r="AO380">
        <v>0</v>
      </c>
      <c r="AP380">
        <v>4</v>
      </c>
      <c r="AQ380">
        <v>2</v>
      </c>
      <c r="AR380">
        <v>1</v>
      </c>
      <c r="AS380">
        <v>0</v>
      </c>
      <c r="AT380">
        <v>1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2</v>
      </c>
      <c r="BC380">
        <v>20</v>
      </c>
      <c r="BD380">
        <v>6</v>
      </c>
      <c r="BE380">
        <v>1</v>
      </c>
      <c r="BF380">
        <v>1</v>
      </c>
      <c r="BG380">
        <v>6</v>
      </c>
      <c r="BH380">
        <v>0</v>
      </c>
      <c r="BI380">
        <v>2</v>
      </c>
      <c r="BJ380">
        <v>0</v>
      </c>
      <c r="BK380">
        <v>0</v>
      </c>
      <c r="BL380">
        <v>1</v>
      </c>
      <c r="BM380">
        <v>3</v>
      </c>
      <c r="BN380">
        <v>20</v>
      </c>
      <c r="BO380">
        <v>111</v>
      </c>
      <c r="BP380">
        <v>78</v>
      </c>
      <c r="BQ380">
        <v>5</v>
      </c>
      <c r="BR380">
        <v>1</v>
      </c>
      <c r="BS380">
        <v>14</v>
      </c>
      <c r="BT380">
        <v>3</v>
      </c>
      <c r="BU380">
        <v>1</v>
      </c>
      <c r="BV380">
        <v>3</v>
      </c>
      <c r="BW380">
        <v>0</v>
      </c>
      <c r="BX380">
        <v>3</v>
      </c>
      <c r="BY380">
        <v>3</v>
      </c>
      <c r="BZ380">
        <v>111</v>
      </c>
      <c r="CA380">
        <v>1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1</v>
      </c>
      <c r="CM380">
        <v>8</v>
      </c>
      <c r="CN380">
        <v>8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8</v>
      </c>
      <c r="CY380">
        <v>17</v>
      </c>
      <c r="CZ380">
        <v>11</v>
      </c>
      <c r="DA380">
        <v>2</v>
      </c>
      <c r="DB380">
        <v>1</v>
      </c>
      <c r="DC380">
        <v>2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1</v>
      </c>
      <c r="DJ380">
        <v>17</v>
      </c>
      <c r="DK380">
        <v>67</v>
      </c>
      <c r="DL380">
        <v>35</v>
      </c>
      <c r="DM380">
        <v>20</v>
      </c>
      <c r="DN380">
        <v>0</v>
      </c>
      <c r="DO380">
        <v>6</v>
      </c>
      <c r="DP380">
        <v>3</v>
      </c>
      <c r="DQ380">
        <v>1</v>
      </c>
      <c r="DR380">
        <v>0</v>
      </c>
      <c r="DS380">
        <v>0</v>
      </c>
      <c r="DT380">
        <v>0</v>
      </c>
      <c r="DU380">
        <v>2</v>
      </c>
      <c r="DV380">
        <v>67</v>
      </c>
      <c r="DW380">
        <v>20</v>
      </c>
      <c r="DX380">
        <v>7</v>
      </c>
      <c r="DY380">
        <v>0</v>
      </c>
      <c r="DZ380">
        <v>0</v>
      </c>
      <c r="EA380">
        <v>4</v>
      </c>
      <c r="EB380">
        <v>0</v>
      </c>
      <c r="EC380">
        <v>0</v>
      </c>
      <c r="ED380">
        <v>4</v>
      </c>
      <c r="EE380">
        <v>0</v>
      </c>
      <c r="EF380">
        <v>4</v>
      </c>
      <c r="EG380">
        <v>1</v>
      </c>
      <c r="EH380">
        <v>20</v>
      </c>
      <c r="EI380">
        <v>1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1</v>
      </c>
      <c r="EQ380">
        <v>0</v>
      </c>
      <c r="ER380">
        <v>1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</row>
    <row r="381" spans="1:172" ht="14.25">
      <c r="A381">
        <v>376</v>
      </c>
      <c r="B381" t="str">
        <f t="shared" si="72"/>
        <v>101904</v>
      </c>
      <c r="C381" t="str">
        <f t="shared" si="73"/>
        <v>Zduńska Wola</v>
      </c>
      <c r="D381" t="str">
        <f t="shared" si="69"/>
        <v>zduńskowolski</v>
      </c>
      <c r="E381" t="str">
        <f t="shared" si="64"/>
        <v>łódzkie</v>
      </c>
      <c r="F381">
        <v>3</v>
      </c>
      <c r="G381" t="str">
        <f>"Szkoła Podstawowa w Krobanowie, Krobanów 12C, 98-220 Zduńska Wola"</f>
        <v>Szkoła Podstawowa w Krobanowie, Krobanów 12C, 98-220 Zduńska Wola</v>
      </c>
      <c r="H381">
        <v>1426</v>
      </c>
      <c r="I381">
        <v>1426</v>
      </c>
      <c r="J381">
        <v>0</v>
      </c>
      <c r="K381">
        <v>980</v>
      </c>
      <c r="L381">
        <v>733</v>
      </c>
      <c r="M381">
        <v>247</v>
      </c>
      <c r="N381">
        <v>247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247</v>
      </c>
      <c r="Z381">
        <v>0</v>
      </c>
      <c r="AA381">
        <v>0</v>
      </c>
      <c r="AB381">
        <v>247</v>
      </c>
      <c r="AC381">
        <v>17</v>
      </c>
      <c r="AD381">
        <v>230</v>
      </c>
      <c r="AE381">
        <v>10</v>
      </c>
      <c r="AF381">
        <v>3</v>
      </c>
      <c r="AG381">
        <v>0</v>
      </c>
      <c r="AH381">
        <v>2</v>
      </c>
      <c r="AI381">
        <v>1</v>
      </c>
      <c r="AJ381">
        <v>0</v>
      </c>
      <c r="AK381">
        <v>1</v>
      </c>
      <c r="AL381">
        <v>0</v>
      </c>
      <c r="AM381">
        <v>0</v>
      </c>
      <c r="AN381">
        <v>2</v>
      </c>
      <c r="AO381">
        <v>1</v>
      </c>
      <c r="AP381">
        <v>10</v>
      </c>
      <c r="AQ381">
        <v>2</v>
      </c>
      <c r="AR381">
        <v>0</v>
      </c>
      <c r="AS381">
        <v>0</v>
      </c>
      <c r="AT381">
        <v>1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1</v>
      </c>
      <c r="BA381">
        <v>0</v>
      </c>
      <c r="BB381">
        <v>2</v>
      </c>
      <c r="BC381">
        <v>6</v>
      </c>
      <c r="BD381">
        <v>3</v>
      </c>
      <c r="BE381">
        <v>0</v>
      </c>
      <c r="BF381">
        <v>0</v>
      </c>
      <c r="BG381">
        <v>1</v>
      </c>
      <c r="BH381">
        <v>0</v>
      </c>
      <c r="BI381">
        <v>1</v>
      </c>
      <c r="BJ381">
        <v>0</v>
      </c>
      <c r="BK381">
        <v>0</v>
      </c>
      <c r="BL381">
        <v>0</v>
      </c>
      <c r="BM381">
        <v>1</v>
      </c>
      <c r="BN381">
        <v>6</v>
      </c>
      <c r="BO381">
        <v>104</v>
      </c>
      <c r="BP381">
        <v>67</v>
      </c>
      <c r="BQ381">
        <v>6</v>
      </c>
      <c r="BR381">
        <v>3</v>
      </c>
      <c r="BS381">
        <v>13</v>
      </c>
      <c r="BT381">
        <v>0</v>
      </c>
      <c r="BU381">
        <v>1</v>
      </c>
      <c r="BV381">
        <v>0</v>
      </c>
      <c r="BW381">
        <v>1</v>
      </c>
      <c r="BX381">
        <v>1</v>
      </c>
      <c r="BY381">
        <v>12</v>
      </c>
      <c r="BZ381">
        <v>104</v>
      </c>
      <c r="CA381">
        <v>2</v>
      </c>
      <c r="CB381">
        <v>1</v>
      </c>
      <c r="CC381">
        <v>0</v>
      </c>
      <c r="CD381">
        <v>0</v>
      </c>
      <c r="CE381">
        <v>0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2</v>
      </c>
      <c r="CM381">
        <v>10</v>
      </c>
      <c r="CN381">
        <v>6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4</v>
      </c>
      <c r="CU381">
        <v>0</v>
      </c>
      <c r="CV381">
        <v>0</v>
      </c>
      <c r="CW381">
        <v>0</v>
      </c>
      <c r="CX381">
        <v>10</v>
      </c>
      <c r="CY381">
        <v>14</v>
      </c>
      <c r="CZ381">
        <v>9</v>
      </c>
      <c r="DA381">
        <v>2</v>
      </c>
      <c r="DB381">
        <v>0</v>
      </c>
      <c r="DC381">
        <v>1</v>
      </c>
      <c r="DD381">
        <v>1</v>
      </c>
      <c r="DE381">
        <v>0</v>
      </c>
      <c r="DF381">
        <v>0</v>
      </c>
      <c r="DG381">
        <v>0</v>
      </c>
      <c r="DH381">
        <v>1</v>
      </c>
      <c r="DI381">
        <v>0</v>
      </c>
      <c r="DJ381">
        <v>14</v>
      </c>
      <c r="DK381">
        <v>50</v>
      </c>
      <c r="DL381">
        <v>32</v>
      </c>
      <c r="DM381">
        <v>16</v>
      </c>
      <c r="DN381">
        <v>0</v>
      </c>
      <c r="DO381">
        <v>1</v>
      </c>
      <c r="DP381">
        <v>0</v>
      </c>
      <c r="DQ381">
        <v>0</v>
      </c>
      <c r="DR381">
        <v>0</v>
      </c>
      <c r="DS381">
        <v>0</v>
      </c>
      <c r="DT381">
        <v>1</v>
      </c>
      <c r="DU381">
        <v>0</v>
      </c>
      <c r="DV381">
        <v>50</v>
      </c>
      <c r="DW381">
        <v>30</v>
      </c>
      <c r="DX381">
        <v>7</v>
      </c>
      <c r="DY381">
        <v>4</v>
      </c>
      <c r="DZ381">
        <v>1</v>
      </c>
      <c r="EA381">
        <v>3</v>
      </c>
      <c r="EB381">
        <v>1</v>
      </c>
      <c r="EC381">
        <v>1</v>
      </c>
      <c r="ED381">
        <v>10</v>
      </c>
      <c r="EE381">
        <v>0</v>
      </c>
      <c r="EF381">
        <v>2</v>
      </c>
      <c r="EG381">
        <v>1</v>
      </c>
      <c r="EH381">
        <v>30</v>
      </c>
      <c r="EI381">
        <v>2</v>
      </c>
      <c r="EJ381">
        <v>1</v>
      </c>
      <c r="EK381">
        <v>1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2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</row>
    <row r="382" spans="1:172" ht="14.25">
      <c r="A382">
        <v>377</v>
      </c>
      <c r="B382" t="str">
        <f t="shared" si="72"/>
        <v>101904</v>
      </c>
      <c r="C382" t="str">
        <f t="shared" si="73"/>
        <v>Zduńska Wola</v>
      </c>
      <c r="D382" t="str">
        <f t="shared" si="69"/>
        <v>zduńskowolski</v>
      </c>
      <c r="E382" t="str">
        <f t="shared" si="64"/>
        <v>łódzkie</v>
      </c>
      <c r="F382">
        <v>4</v>
      </c>
      <c r="G382" t="str">
        <f>"Szkoła Podstawowa w Annopolu Starym, Annopole Stare 5A, 98-220 Zduńska Wola"</f>
        <v>Szkoła Podstawowa w Annopolu Starym, Annopole Stare 5A, 98-220 Zduńska Wola</v>
      </c>
      <c r="H382">
        <v>889</v>
      </c>
      <c r="I382">
        <v>889</v>
      </c>
      <c r="J382">
        <v>0</v>
      </c>
      <c r="K382">
        <v>620</v>
      </c>
      <c r="L382">
        <v>520</v>
      </c>
      <c r="M382">
        <v>100</v>
      </c>
      <c r="N382">
        <v>100</v>
      </c>
      <c r="O382">
        <v>0</v>
      </c>
      <c r="P382">
        <v>0</v>
      </c>
      <c r="Q382">
        <v>2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100</v>
      </c>
      <c r="Z382">
        <v>0</v>
      </c>
      <c r="AA382">
        <v>0</v>
      </c>
      <c r="AB382">
        <v>100</v>
      </c>
      <c r="AC382">
        <v>2</v>
      </c>
      <c r="AD382">
        <v>98</v>
      </c>
      <c r="AE382">
        <v>1</v>
      </c>
      <c r="AF382">
        <v>1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2</v>
      </c>
      <c r="AR382">
        <v>1</v>
      </c>
      <c r="AS382">
        <v>1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2</v>
      </c>
      <c r="BC382">
        <v>6</v>
      </c>
      <c r="BD382">
        <v>2</v>
      </c>
      <c r="BE382">
        <v>3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1</v>
      </c>
      <c r="BN382">
        <v>6</v>
      </c>
      <c r="BO382">
        <v>29</v>
      </c>
      <c r="BP382">
        <v>18</v>
      </c>
      <c r="BQ382">
        <v>4</v>
      </c>
      <c r="BR382">
        <v>0</v>
      </c>
      <c r="BS382">
        <v>6</v>
      </c>
      <c r="BT382">
        <v>0</v>
      </c>
      <c r="BU382">
        <v>0</v>
      </c>
      <c r="BV382">
        <v>1</v>
      </c>
      <c r="BW382">
        <v>0</v>
      </c>
      <c r="BX382">
        <v>0</v>
      </c>
      <c r="BY382">
        <v>0</v>
      </c>
      <c r="BZ382">
        <v>29</v>
      </c>
      <c r="CA382">
        <v>1</v>
      </c>
      <c r="CB382">
        <v>0</v>
      </c>
      <c r="CC382">
        <v>0</v>
      </c>
      <c r="CD382">
        <v>1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1</v>
      </c>
      <c r="CM382">
        <v>4</v>
      </c>
      <c r="CN382">
        <v>2</v>
      </c>
      <c r="CO382">
        <v>2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4</v>
      </c>
      <c r="CY382">
        <v>8</v>
      </c>
      <c r="CZ382">
        <v>2</v>
      </c>
      <c r="DA382">
        <v>0</v>
      </c>
      <c r="DB382">
        <v>1</v>
      </c>
      <c r="DC382">
        <v>0</v>
      </c>
      <c r="DD382">
        <v>0</v>
      </c>
      <c r="DE382">
        <v>0</v>
      </c>
      <c r="DF382">
        <v>1</v>
      </c>
      <c r="DG382">
        <v>0</v>
      </c>
      <c r="DH382">
        <v>0</v>
      </c>
      <c r="DI382">
        <v>4</v>
      </c>
      <c r="DJ382">
        <v>8</v>
      </c>
      <c r="DK382">
        <v>18</v>
      </c>
      <c r="DL382">
        <v>10</v>
      </c>
      <c r="DM382">
        <v>4</v>
      </c>
      <c r="DN382">
        <v>0</v>
      </c>
      <c r="DO382">
        <v>2</v>
      </c>
      <c r="DP382">
        <v>0</v>
      </c>
      <c r="DQ382">
        <v>1</v>
      </c>
      <c r="DR382">
        <v>0</v>
      </c>
      <c r="DS382">
        <v>0</v>
      </c>
      <c r="DT382">
        <v>0</v>
      </c>
      <c r="DU382">
        <v>1</v>
      </c>
      <c r="DV382">
        <v>18</v>
      </c>
      <c r="DW382">
        <v>27</v>
      </c>
      <c r="DX382">
        <v>11</v>
      </c>
      <c r="DY382">
        <v>3</v>
      </c>
      <c r="DZ382">
        <v>0</v>
      </c>
      <c r="EA382">
        <v>5</v>
      </c>
      <c r="EB382">
        <v>0</v>
      </c>
      <c r="EC382">
        <v>0</v>
      </c>
      <c r="ED382">
        <v>5</v>
      </c>
      <c r="EE382">
        <v>2</v>
      </c>
      <c r="EF382">
        <v>1</v>
      </c>
      <c r="EG382">
        <v>0</v>
      </c>
      <c r="EH382">
        <v>27</v>
      </c>
      <c r="EI382">
        <v>2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2</v>
      </c>
      <c r="EQ382">
        <v>0</v>
      </c>
      <c r="ER382">
        <v>2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</row>
    <row r="383" spans="1:172" ht="14.25">
      <c r="A383">
        <v>378</v>
      </c>
      <c r="B383" t="str">
        <f t="shared" si="72"/>
        <v>101904</v>
      </c>
      <c r="C383" t="str">
        <f t="shared" si="73"/>
        <v>Zduńska Wola</v>
      </c>
      <c r="D383" t="str">
        <f t="shared" si="69"/>
        <v>zduńskowolski</v>
      </c>
      <c r="E383" t="str">
        <f t="shared" si="64"/>
        <v>łódzkie</v>
      </c>
      <c r="F383">
        <v>5</v>
      </c>
      <c r="G383" t="str">
        <f>"Szkoła Podstawowa w Janiszewicach, Janiszewice 17, 98-220 Zduńska Wola"</f>
        <v>Szkoła Podstawowa w Janiszewicach, Janiszewice 17, 98-220 Zduńska Wola</v>
      </c>
      <c r="H383">
        <v>2154</v>
      </c>
      <c r="I383">
        <v>2154</v>
      </c>
      <c r="J383">
        <v>0</v>
      </c>
      <c r="K383">
        <v>1520</v>
      </c>
      <c r="L383">
        <v>1105</v>
      </c>
      <c r="M383">
        <v>415</v>
      </c>
      <c r="N383">
        <v>415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415</v>
      </c>
      <c r="Z383">
        <v>0</v>
      </c>
      <c r="AA383">
        <v>0</v>
      </c>
      <c r="AB383">
        <v>415</v>
      </c>
      <c r="AC383">
        <v>16</v>
      </c>
      <c r="AD383">
        <v>399</v>
      </c>
      <c r="AE383">
        <v>8</v>
      </c>
      <c r="AF383">
        <v>0</v>
      </c>
      <c r="AG383">
        <v>4</v>
      </c>
      <c r="AH383">
        <v>1</v>
      </c>
      <c r="AI383">
        <v>0</v>
      </c>
      <c r="AJ383">
        <v>0</v>
      </c>
      <c r="AK383">
        <v>1</v>
      </c>
      <c r="AL383">
        <v>0</v>
      </c>
      <c r="AM383">
        <v>0</v>
      </c>
      <c r="AN383">
        <v>1</v>
      </c>
      <c r="AO383">
        <v>1</v>
      </c>
      <c r="AP383">
        <v>8</v>
      </c>
      <c r="AQ383">
        <v>3</v>
      </c>
      <c r="AR383">
        <v>1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2</v>
      </c>
      <c r="AY383">
        <v>0</v>
      </c>
      <c r="AZ383">
        <v>0</v>
      </c>
      <c r="BA383">
        <v>0</v>
      </c>
      <c r="BB383">
        <v>3</v>
      </c>
      <c r="BC383">
        <v>24</v>
      </c>
      <c r="BD383">
        <v>4</v>
      </c>
      <c r="BE383">
        <v>2</v>
      </c>
      <c r="BF383">
        <v>10</v>
      </c>
      <c r="BG383">
        <v>6</v>
      </c>
      <c r="BH383">
        <v>0</v>
      </c>
      <c r="BI383">
        <v>1</v>
      </c>
      <c r="BJ383">
        <v>1</v>
      </c>
      <c r="BK383">
        <v>0</v>
      </c>
      <c r="BL383">
        <v>0</v>
      </c>
      <c r="BM383">
        <v>0</v>
      </c>
      <c r="BN383">
        <v>24</v>
      </c>
      <c r="BO383">
        <v>193</v>
      </c>
      <c r="BP383">
        <v>153</v>
      </c>
      <c r="BQ383">
        <v>13</v>
      </c>
      <c r="BR383">
        <v>3</v>
      </c>
      <c r="BS383">
        <v>12</v>
      </c>
      <c r="BT383">
        <v>2</v>
      </c>
      <c r="BU383">
        <v>0</v>
      </c>
      <c r="BV383">
        <v>6</v>
      </c>
      <c r="BW383">
        <v>1</v>
      </c>
      <c r="BX383">
        <v>2</v>
      </c>
      <c r="BY383">
        <v>1</v>
      </c>
      <c r="BZ383">
        <v>193</v>
      </c>
      <c r="CA383">
        <v>11</v>
      </c>
      <c r="CB383">
        <v>2</v>
      </c>
      <c r="CC383">
        <v>2</v>
      </c>
      <c r="CD383">
        <v>2</v>
      </c>
      <c r="CE383">
        <v>1</v>
      </c>
      <c r="CF383">
        <v>0</v>
      </c>
      <c r="CG383">
        <v>0</v>
      </c>
      <c r="CH383">
        <v>1</v>
      </c>
      <c r="CI383">
        <v>1</v>
      </c>
      <c r="CJ383">
        <v>1</v>
      </c>
      <c r="CK383">
        <v>1</v>
      </c>
      <c r="CL383">
        <v>11</v>
      </c>
      <c r="CM383">
        <v>15</v>
      </c>
      <c r="CN383">
        <v>11</v>
      </c>
      <c r="CO383">
        <v>1</v>
      </c>
      <c r="CP383">
        <v>3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15</v>
      </c>
      <c r="CY383">
        <v>24</v>
      </c>
      <c r="CZ383">
        <v>12</v>
      </c>
      <c r="DA383">
        <v>6</v>
      </c>
      <c r="DB383">
        <v>0</v>
      </c>
      <c r="DC383">
        <v>0</v>
      </c>
      <c r="DD383">
        <v>2</v>
      </c>
      <c r="DE383">
        <v>0</v>
      </c>
      <c r="DF383">
        <v>0</v>
      </c>
      <c r="DG383">
        <v>1</v>
      </c>
      <c r="DH383">
        <v>1</v>
      </c>
      <c r="DI383">
        <v>2</v>
      </c>
      <c r="DJ383">
        <v>24</v>
      </c>
      <c r="DK383">
        <v>94</v>
      </c>
      <c r="DL383">
        <v>47</v>
      </c>
      <c r="DM383">
        <v>30</v>
      </c>
      <c r="DN383">
        <v>2</v>
      </c>
      <c r="DO383">
        <v>8</v>
      </c>
      <c r="DP383">
        <v>2</v>
      </c>
      <c r="DQ383">
        <v>2</v>
      </c>
      <c r="DR383">
        <v>0</v>
      </c>
      <c r="DS383">
        <v>0</v>
      </c>
      <c r="DT383">
        <v>1</v>
      </c>
      <c r="DU383">
        <v>2</v>
      </c>
      <c r="DV383">
        <v>94</v>
      </c>
      <c r="DW383">
        <v>22</v>
      </c>
      <c r="DX383">
        <v>8</v>
      </c>
      <c r="DY383">
        <v>2</v>
      </c>
      <c r="DZ383">
        <v>0</v>
      </c>
      <c r="EA383">
        <v>1</v>
      </c>
      <c r="EB383">
        <v>5</v>
      </c>
      <c r="EC383">
        <v>0</v>
      </c>
      <c r="ED383">
        <v>4</v>
      </c>
      <c r="EE383">
        <v>0</v>
      </c>
      <c r="EF383">
        <v>1</v>
      </c>
      <c r="EG383">
        <v>1</v>
      </c>
      <c r="EH383">
        <v>22</v>
      </c>
      <c r="EI383">
        <v>2</v>
      </c>
      <c r="EJ383">
        <v>0</v>
      </c>
      <c r="EK383">
        <v>2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2</v>
      </c>
      <c r="ES383">
        <v>1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1</v>
      </c>
      <c r="EZ383">
        <v>0</v>
      </c>
      <c r="FA383">
        <v>0</v>
      </c>
      <c r="FB383">
        <v>0</v>
      </c>
      <c r="FC383">
        <v>0</v>
      </c>
      <c r="FD383">
        <v>1</v>
      </c>
      <c r="FE383">
        <v>2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2</v>
      </c>
      <c r="FN383">
        <v>0</v>
      </c>
      <c r="FO383">
        <v>0</v>
      </c>
      <c r="FP383">
        <v>2</v>
      </c>
    </row>
    <row r="384" spans="1:172" ht="14.25">
      <c r="A384">
        <v>379</v>
      </c>
      <c r="B384" t="str">
        <f t="shared" si="72"/>
        <v>101904</v>
      </c>
      <c r="C384" t="str">
        <f t="shared" si="73"/>
        <v>Zduńska Wola</v>
      </c>
      <c r="D384" t="str">
        <f t="shared" si="69"/>
        <v>zduńskowolski</v>
      </c>
      <c r="E384" t="str">
        <f t="shared" si="64"/>
        <v>łódzkie</v>
      </c>
      <c r="F384">
        <v>6</v>
      </c>
      <c r="G384" t="str">
        <f>"Gimnazjum w Czechach, Czechy 142, 98-220 Zduńska Wola"</f>
        <v>Gimnazjum w Czechach, Czechy 142, 98-220 Zduńska Wola</v>
      </c>
      <c r="H384">
        <v>1382</v>
      </c>
      <c r="I384">
        <v>1382</v>
      </c>
      <c r="J384">
        <v>0</v>
      </c>
      <c r="K384">
        <v>980</v>
      </c>
      <c r="L384">
        <v>527</v>
      </c>
      <c r="M384">
        <v>453</v>
      </c>
      <c r="N384">
        <v>453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453</v>
      </c>
      <c r="Z384">
        <v>0</v>
      </c>
      <c r="AA384">
        <v>0</v>
      </c>
      <c r="AB384">
        <v>453</v>
      </c>
      <c r="AC384">
        <v>13</v>
      </c>
      <c r="AD384">
        <v>440</v>
      </c>
      <c r="AE384">
        <v>12</v>
      </c>
      <c r="AF384">
        <v>7</v>
      </c>
      <c r="AG384">
        <v>2</v>
      </c>
      <c r="AH384">
        <v>1</v>
      </c>
      <c r="AI384">
        <v>1</v>
      </c>
      <c r="AJ384">
        <v>0</v>
      </c>
      <c r="AK384">
        <v>0</v>
      </c>
      <c r="AL384">
        <v>1</v>
      </c>
      <c r="AM384">
        <v>0</v>
      </c>
      <c r="AN384">
        <v>0</v>
      </c>
      <c r="AO384">
        <v>0</v>
      </c>
      <c r="AP384">
        <v>12</v>
      </c>
      <c r="AQ384">
        <v>4</v>
      </c>
      <c r="AR384">
        <v>2</v>
      </c>
      <c r="AS384">
        <v>0</v>
      </c>
      <c r="AT384">
        <v>0</v>
      </c>
      <c r="AU384">
        <v>1</v>
      </c>
      <c r="AV384">
        <v>0</v>
      </c>
      <c r="AW384">
        <v>0</v>
      </c>
      <c r="AX384">
        <v>1</v>
      </c>
      <c r="AY384">
        <v>0</v>
      </c>
      <c r="AZ384">
        <v>0</v>
      </c>
      <c r="BA384">
        <v>0</v>
      </c>
      <c r="BB384">
        <v>4</v>
      </c>
      <c r="BC384">
        <v>19</v>
      </c>
      <c r="BD384">
        <v>10</v>
      </c>
      <c r="BE384">
        <v>1</v>
      </c>
      <c r="BF384">
        <v>6</v>
      </c>
      <c r="BG384">
        <v>1</v>
      </c>
      <c r="BH384">
        <v>0</v>
      </c>
      <c r="BI384">
        <v>0</v>
      </c>
      <c r="BJ384">
        <v>0</v>
      </c>
      <c r="BK384">
        <v>0</v>
      </c>
      <c r="BL384">
        <v>1</v>
      </c>
      <c r="BM384">
        <v>0</v>
      </c>
      <c r="BN384">
        <v>19</v>
      </c>
      <c r="BO384">
        <v>245</v>
      </c>
      <c r="BP384">
        <v>171</v>
      </c>
      <c r="BQ384">
        <v>23</v>
      </c>
      <c r="BR384">
        <v>5</v>
      </c>
      <c r="BS384">
        <v>31</v>
      </c>
      <c r="BT384">
        <v>1</v>
      </c>
      <c r="BU384">
        <v>0</v>
      </c>
      <c r="BV384">
        <v>0</v>
      </c>
      <c r="BW384">
        <v>2</v>
      </c>
      <c r="BX384">
        <v>5</v>
      </c>
      <c r="BY384">
        <v>7</v>
      </c>
      <c r="BZ384">
        <v>245</v>
      </c>
      <c r="CA384">
        <v>6</v>
      </c>
      <c r="CB384">
        <v>1</v>
      </c>
      <c r="CC384">
        <v>1</v>
      </c>
      <c r="CD384">
        <v>0</v>
      </c>
      <c r="CE384">
        <v>0</v>
      </c>
      <c r="CF384">
        <v>1</v>
      </c>
      <c r="CG384">
        <v>0</v>
      </c>
      <c r="CH384">
        <v>1</v>
      </c>
      <c r="CI384">
        <v>0</v>
      </c>
      <c r="CJ384">
        <v>0</v>
      </c>
      <c r="CK384">
        <v>2</v>
      </c>
      <c r="CL384">
        <v>6</v>
      </c>
      <c r="CM384">
        <v>15</v>
      </c>
      <c r="CN384">
        <v>8</v>
      </c>
      <c r="CO384">
        <v>3</v>
      </c>
      <c r="CP384">
        <v>2</v>
      </c>
      <c r="CQ384">
        <v>1</v>
      </c>
      <c r="CR384">
        <v>0</v>
      </c>
      <c r="CS384">
        <v>0</v>
      </c>
      <c r="CT384">
        <v>0</v>
      </c>
      <c r="CU384">
        <v>1</v>
      </c>
      <c r="CV384">
        <v>0</v>
      </c>
      <c r="CW384">
        <v>0</v>
      </c>
      <c r="CX384">
        <v>15</v>
      </c>
      <c r="CY384">
        <v>40</v>
      </c>
      <c r="CZ384">
        <v>26</v>
      </c>
      <c r="DA384">
        <v>2</v>
      </c>
      <c r="DB384">
        <v>2</v>
      </c>
      <c r="DC384">
        <v>3</v>
      </c>
      <c r="DD384">
        <v>1</v>
      </c>
      <c r="DE384">
        <v>1</v>
      </c>
      <c r="DF384">
        <v>1</v>
      </c>
      <c r="DG384">
        <v>1</v>
      </c>
      <c r="DH384">
        <v>2</v>
      </c>
      <c r="DI384">
        <v>1</v>
      </c>
      <c r="DJ384">
        <v>40</v>
      </c>
      <c r="DK384">
        <v>74</v>
      </c>
      <c r="DL384">
        <v>52</v>
      </c>
      <c r="DM384">
        <v>12</v>
      </c>
      <c r="DN384">
        <v>1</v>
      </c>
      <c r="DO384">
        <v>6</v>
      </c>
      <c r="DP384">
        <v>1</v>
      </c>
      <c r="DQ384">
        <v>1</v>
      </c>
      <c r="DR384">
        <v>0</v>
      </c>
      <c r="DS384">
        <v>0</v>
      </c>
      <c r="DT384">
        <v>0</v>
      </c>
      <c r="DU384">
        <v>1</v>
      </c>
      <c r="DV384">
        <v>74</v>
      </c>
      <c r="DW384">
        <v>17</v>
      </c>
      <c r="DX384">
        <v>4</v>
      </c>
      <c r="DY384">
        <v>5</v>
      </c>
      <c r="DZ384">
        <v>1</v>
      </c>
      <c r="EA384">
        <v>2</v>
      </c>
      <c r="EB384">
        <v>0</v>
      </c>
      <c r="EC384">
        <v>0</v>
      </c>
      <c r="ED384">
        <v>2</v>
      </c>
      <c r="EE384">
        <v>1</v>
      </c>
      <c r="EF384">
        <v>1</v>
      </c>
      <c r="EG384">
        <v>1</v>
      </c>
      <c r="EH384">
        <v>17</v>
      </c>
      <c r="EI384">
        <v>1</v>
      </c>
      <c r="EJ384">
        <v>0</v>
      </c>
      <c r="EK384">
        <v>1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1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7</v>
      </c>
      <c r="FF384">
        <v>0</v>
      </c>
      <c r="FG384">
        <v>2</v>
      </c>
      <c r="FH384">
        <v>0</v>
      </c>
      <c r="FI384">
        <v>2</v>
      </c>
      <c r="FJ384">
        <v>0</v>
      </c>
      <c r="FK384">
        <v>0</v>
      </c>
      <c r="FL384">
        <v>1</v>
      </c>
      <c r="FM384">
        <v>0</v>
      </c>
      <c r="FN384">
        <v>0</v>
      </c>
      <c r="FO384">
        <v>2</v>
      </c>
      <c r="FP384">
        <v>7</v>
      </c>
    </row>
    <row r="385" spans="1:172" ht="14.25">
      <c r="A385">
        <v>380</v>
      </c>
      <c r="B385" t="str">
        <f t="shared" si="72"/>
        <v>101904</v>
      </c>
      <c r="C385" t="str">
        <f t="shared" si="73"/>
        <v>Zduńska Wola</v>
      </c>
      <c r="D385" t="str">
        <f t="shared" si="69"/>
        <v>zduńskowolski</v>
      </c>
      <c r="E385" t="str">
        <f t="shared" si="64"/>
        <v>łódzkie</v>
      </c>
      <c r="F385">
        <v>7</v>
      </c>
      <c r="G385" t="str">
        <f>"Szkoła Podstawowa w Wojsławicach, Wojsławice 105, 98-220 Zduńska Wola"</f>
        <v>Szkoła Podstawowa w Wojsławicach, Wojsławice 105, 98-220 Zduńska Wola</v>
      </c>
      <c r="H385">
        <v>1045</v>
      </c>
      <c r="I385">
        <v>1045</v>
      </c>
      <c r="J385">
        <v>0</v>
      </c>
      <c r="K385">
        <v>730</v>
      </c>
      <c r="L385">
        <v>586</v>
      </c>
      <c r="M385">
        <v>144</v>
      </c>
      <c r="N385">
        <v>144</v>
      </c>
      <c r="O385">
        <v>0</v>
      </c>
      <c r="P385">
        <v>0</v>
      </c>
      <c r="Q385">
        <v>3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144</v>
      </c>
      <c r="Z385">
        <v>0</v>
      </c>
      <c r="AA385">
        <v>0</v>
      </c>
      <c r="AB385">
        <v>144</v>
      </c>
      <c r="AC385">
        <v>5</v>
      </c>
      <c r="AD385">
        <v>139</v>
      </c>
      <c r="AE385">
        <v>5</v>
      </c>
      <c r="AF385">
        <v>3</v>
      </c>
      <c r="AG385">
        <v>0</v>
      </c>
      <c r="AH385">
        <v>1</v>
      </c>
      <c r="AI385">
        <v>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5</v>
      </c>
      <c r="AQ385">
        <v>2</v>
      </c>
      <c r="AR385">
        <v>1</v>
      </c>
      <c r="AS385">
        <v>0</v>
      </c>
      <c r="AT385">
        <v>0</v>
      </c>
      <c r="AU385">
        <v>0</v>
      </c>
      <c r="AV385">
        <v>1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2</v>
      </c>
      <c r="BC385">
        <v>14</v>
      </c>
      <c r="BD385">
        <v>8</v>
      </c>
      <c r="BE385">
        <v>2</v>
      </c>
      <c r="BF385">
        <v>1</v>
      </c>
      <c r="BG385">
        <v>2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1</v>
      </c>
      <c r="BN385">
        <v>14</v>
      </c>
      <c r="BO385">
        <v>55</v>
      </c>
      <c r="BP385">
        <v>43</v>
      </c>
      <c r="BQ385">
        <v>0</v>
      </c>
      <c r="BR385">
        <v>1</v>
      </c>
      <c r="BS385">
        <v>5</v>
      </c>
      <c r="BT385">
        <v>1</v>
      </c>
      <c r="BU385">
        <v>0</v>
      </c>
      <c r="BV385">
        <v>3</v>
      </c>
      <c r="BW385">
        <v>0</v>
      </c>
      <c r="BX385">
        <v>1</v>
      </c>
      <c r="BY385">
        <v>1</v>
      </c>
      <c r="BZ385">
        <v>55</v>
      </c>
      <c r="CA385">
        <v>2</v>
      </c>
      <c r="CB385">
        <v>1</v>
      </c>
      <c r="CC385">
        <v>0</v>
      </c>
      <c r="CD385">
        <v>0</v>
      </c>
      <c r="CE385">
        <v>1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2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9</v>
      </c>
      <c r="CZ385">
        <v>5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1</v>
      </c>
      <c r="DG385">
        <v>2</v>
      </c>
      <c r="DH385">
        <v>0</v>
      </c>
      <c r="DI385">
        <v>1</v>
      </c>
      <c r="DJ385">
        <v>9</v>
      </c>
      <c r="DK385">
        <v>29</v>
      </c>
      <c r="DL385">
        <v>12</v>
      </c>
      <c r="DM385">
        <v>11</v>
      </c>
      <c r="DN385">
        <v>0</v>
      </c>
      <c r="DO385">
        <v>4</v>
      </c>
      <c r="DP385">
        <v>0</v>
      </c>
      <c r="DQ385">
        <v>0</v>
      </c>
      <c r="DR385">
        <v>1</v>
      </c>
      <c r="DS385">
        <v>0</v>
      </c>
      <c r="DT385">
        <v>0</v>
      </c>
      <c r="DU385">
        <v>1</v>
      </c>
      <c r="DV385">
        <v>29</v>
      </c>
      <c r="DW385">
        <v>22</v>
      </c>
      <c r="DX385">
        <v>8</v>
      </c>
      <c r="DY385">
        <v>2</v>
      </c>
      <c r="DZ385">
        <v>0</v>
      </c>
      <c r="EA385">
        <v>8</v>
      </c>
      <c r="EB385">
        <v>3</v>
      </c>
      <c r="EC385">
        <v>1</v>
      </c>
      <c r="ED385">
        <v>0</v>
      </c>
      <c r="EE385">
        <v>0</v>
      </c>
      <c r="EF385">
        <v>0</v>
      </c>
      <c r="EG385">
        <v>0</v>
      </c>
      <c r="EH385">
        <v>22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1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1</v>
      </c>
      <c r="FP38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2014-05-27T11:37:21Z</dcterms:created>
  <dcterms:modified xsi:type="dcterms:W3CDTF">2014-05-27T11:37:32Z</dcterms:modified>
  <cp:category/>
  <cp:version/>
  <cp:contentType/>
  <cp:contentStatus/>
</cp:coreProperties>
</file>