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7825" windowHeight="13170" activeTab="0"/>
  </bookViews>
  <sheets>
    <sheet name="agregat_rkw" sheetId="1" r:id="rId1"/>
  </sheets>
  <definedNames/>
  <calcPr fullCalcOnLoad="1"/>
</workbook>
</file>

<file path=xl/sharedStrings.xml><?xml version="1.0" encoding="utf-8"?>
<sst xmlns="http://schemas.openxmlformats.org/spreadsheetml/2006/main" count="201" uniqueCount="48">
  <si>
    <t>Wybory posłów do Parlamentu Europejskiego zarządzone na 25 maja 2014 r.</t>
  </si>
  <si>
    <t>Rejonowa Komisja Wyborcza w Skierniewicach</t>
  </si>
  <si>
    <t xml:space="preserve">     </t>
  </si>
  <si>
    <t> </t>
  </si>
  <si>
    <t>Lp.</t>
  </si>
  <si>
    <t>Kod terytorialny gminy</t>
  </si>
  <si>
    <t>Gmina</t>
  </si>
  <si>
    <t>Powiat</t>
  </si>
  <si>
    <t>Województwo</t>
  </si>
  <si>
    <t>Nr obwodu głosowania</t>
  </si>
  <si>
    <t>Siedziba Obwodowej Komisji Wyborczej</t>
  </si>
  <si>
    <t>Liczba wyborców uprawnionych do głosowania</t>
  </si>
  <si>
    <t>w tym umieszczonych w części A spisu wyborców</t>
  </si>
  <si>
    <t>w tym umieszczonych w części B spisu wyborców</t>
  </si>
  <si>
    <t>Komisja otrzymała kart do głosowania</t>
  </si>
  <si>
    <t>Nie wykorzystano kart do głosowania</t>
  </si>
  <si>
    <t>Liczba wyborców, którym wydano karty do głosowania</t>
  </si>
  <si>
    <t>w tym w części A spisu wyborców</t>
  </si>
  <si>
    <t>w tym w części B spisu wyborców</t>
  </si>
  <si>
    <t>Liczba wyborców głosujących przez pełnomocnika</t>
  </si>
  <si>
    <t>Liczba wyborców głosujących na podstawie zaświadczenia o prawie do głosowania</t>
  </si>
  <si>
    <t>Liczba wyborców, którym wysłano pakiety wyborcze</t>
  </si>
  <si>
    <t>Liczba otrzymanych kopert zwrotnych</t>
  </si>
  <si>
    <t>Liczba kopert zwrotnych, w których nie było oświadczenia o osobistym i tajnym głosowaniu</t>
  </si>
  <si>
    <t>Liczba kopert zwrotnych, w których oswiadczenie nie było podpisane przez wyborcę</t>
  </si>
  <si>
    <t>Liczba kopert zwrotnych, w których nie było koperty na kartę do głosowania</t>
  </si>
  <si>
    <t>Liczba kopert zwrotnych, w których znajdowała sie niezaklejona koperta na kartę do głosowania</t>
  </si>
  <si>
    <t>Liczba kopert na kartę do głosowania wrzuconych do urny</t>
  </si>
  <si>
    <t>Liczba kart wyjętych z urny</t>
  </si>
  <si>
    <t>w tym liczba kart wyjętych z kopert na karty do głosowania</t>
  </si>
  <si>
    <t>Liczba kart nieważnych</t>
  </si>
  <si>
    <t>Liczba kart ważnych</t>
  </si>
  <si>
    <t>Liczba głosów nieważnych</t>
  </si>
  <si>
    <t>Liczba głosów ważnych oddanych łącznie na wszystkie listy kandydatów</t>
  </si>
  <si>
    <t>Liczba głosów ważnych oddanych na listę</t>
  </si>
  <si>
    <t>Razem</t>
  </si>
  <si>
    <t>="Świetlica RSM Pionier", ul. Staszica 21, 99-300 Kutno"""</t>
  </si>
  <si>
    <t>="Przedszkole Miejskie Nr 17 NIEZAPOMINAJKA", ul. Józefa Wybickiego 1, 99-300 Kutno"""</t>
  </si>
  <si>
    <t>="P.W. AUTO-MOTO-KUTNO" E. Z. Kwiatkowscy, ul. Sienkiewicza 28, 99-300 Kutno"""</t>
  </si>
  <si>
    <t>="Przedszkole Miejskie Nr 15 Bajka", ul. Władysława Jagiełły 4a, 99-300 Kutno"""</t>
  </si>
  <si>
    <t>="Przedszkole Miejskie Nr 8 Promyczek", ul. Dr. Antoniego Troczewskiego 2a, 99-300 Kutno"""</t>
  </si>
  <si>
    <t>="Kutnowski Szpital Samorządowy" Spółka z o.o. NZOZ "Kutnowski Szpital Samorządowy im. dr. Antoniego Troczewskiego", ul. Kościuszki 52, 99-300 Kutno"""</t>
  </si>
  <si>
    <t>="Szkoła Podstawowa Fundacji Elementarz" z Oddziałem Przedszkolnym, Jankowice, 99-340 Krośniewice"""</t>
  </si>
  <si>
    <t>="Stowarzyszenie Abstynentów i Rodzin Abstynenckich Klubu  Przebudzenie ", ul. Belwederska 38, 99-100 Łęczyca"""</t>
  </si>
  <si>
    <t>="Stowarzyszenie Osób Niepełnosprawnych Tacy Sami" - Warsztaty Terapii Zajęciowej, Parma 36, 99-400 Łowicz"""</t>
  </si>
  <si>
    <t>="Przedszkole Miejskie nr 3 Bajkowy Zakątek", ul. Solidarności 3b, 96-200 Rawa Mazowiecka"""</t>
  </si>
  <si>
    <t>="Ośrodek Sportu i Rekreacji Hala Milenium", ul. Kazimierza Wielkiego 28, 96-200 Rawa Mazowiecka"""</t>
  </si>
  <si>
    <t>="Klub OAZA", ul. Jarosława Iwaszkiewicza 13, 96-100 Skierniewice"""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</si>
</sst>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294"/>
  <sheetViews>
    <sheetView tabSelected="1" zoomScalePageLayoutView="0" workbookViewId="0" topLeftCell="A1">
      <selection activeCell="A2" sqref="A2"/>
    </sheetView>
  </sheetViews>
  <sheetFormatPr defaultColWidth="8.796875" defaultRowHeight="14.25"/>
  <sheetData>
    <row r="1" ht="14.25">
      <c r="A1" t="s">
        <v>0</v>
      </c>
    </row>
    <row r="2" ht="14.25">
      <c r="A2" t="s">
        <v>1</v>
      </c>
    </row>
    <row r="4" spans="21:172" ht="14.25">
      <c r="U4" t="s">
        <v>2</v>
      </c>
      <c r="AE4" t="str">
        <f>"Lista nr 1 — KW Solidarna Polska Zbigniewa Ziobro"</f>
        <v>Lista nr 1 — KW Solidarna Polska Zbigniewa Ziobro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3</v>
      </c>
      <c r="AO4" t="s">
        <v>3</v>
      </c>
      <c r="AP4" t="s">
        <v>3</v>
      </c>
      <c r="AQ4" t="str">
        <f>"Lista nr 2 — Komitet Wyborczy Wyborców Ruch Narodowy"</f>
        <v>Lista nr 2 — Komitet Wyborczy Wyborców Ruch Narodowy</v>
      </c>
      <c r="AR4" t="s">
        <v>3</v>
      </c>
      <c r="AS4" t="s">
        <v>3</v>
      </c>
      <c r="AT4" t="s">
        <v>3</v>
      </c>
      <c r="AU4" t="s">
        <v>3</v>
      </c>
      <c r="AV4" t="s">
        <v>3</v>
      </c>
      <c r="AW4" t="s">
        <v>3</v>
      </c>
      <c r="AX4" t="s">
        <v>3</v>
      </c>
      <c r="AY4" t="s">
        <v>3</v>
      </c>
      <c r="AZ4" t="s">
        <v>3</v>
      </c>
      <c r="BA4" t="s">
        <v>3</v>
      </c>
      <c r="BB4" t="s">
        <v>3</v>
      </c>
      <c r="BC4" t="str">
        <f>"Lista nr 3 — KKW SLD-UP"</f>
        <v>Lista nr 3 — KKW SLD-UP</v>
      </c>
      <c r="BD4" t="s">
        <v>3</v>
      </c>
      <c r="BE4" t="s">
        <v>3</v>
      </c>
      <c r="BF4" t="s">
        <v>3</v>
      </c>
      <c r="BG4" t="s">
        <v>3</v>
      </c>
      <c r="BH4" t="s">
        <v>3</v>
      </c>
      <c r="BI4" t="s">
        <v>3</v>
      </c>
      <c r="BJ4" t="s">
        <v>3</v>
      </c>
      <c r="BK4" t="s">
        <v>3</v>
      </c>
      <c r="BL4" t="s">
        <v>3</v>
      </c>
      <c r="BM4" t="s">
        <v>3</v>
      </c>
      <c r="BN4" t="s">
        <v>3</v>
      </c>
      <c r="BO4" t="str">
        <f>"Lista nr 4 — KW Prawo i Sprawiedliwość"</f>
        <v>Lista nr 4 — KW Prawo i Sprawiedliwość</v>
      </c>
      <c r="BP4" t="s">
        <v>3</v>
      </c>
      <c r="BQ4" t="s">
        <v>3</v>
      </c>
      <c r="BR4" t="s">
        <v>3</v>
      </c>
      <c r="BS4" t="s">
        <v>3</v>
      </c>
      <c r="BT4" t="s">
        <v>3</v>
      </c>
      <c r="BU4" t="s">
        <v>3</v>
      </c>
      <c r="BV4" t="s">
        <v>3</v>
      </c>
      <c r="BW4" t="s">
        <v>3</v>
      </c>
      <c r="BX4" t="s">
        <v>3</v>
      </c>
      <c r="BY4" t="s">
        <v>3</v>
      </c>
      <c r="BZ4" t="s">
        <v>3</v>
      </c>
      <c r="CA4" t="str">
        <f>"Lista nr 5 — KKW Europa Plus Twój Ruch"</f>
        <v>Lista nr 5 — KKW Europa Plus Twój Ruch</v>
      </c>
      <c r="CB4" t="s">
        <v>3</v>
      </c>
      <c r="CC4" t="s">
        <v>3</v>
      </c>
      <c r="CD4" t="s">
        <v>3</v>
      </c>
      <c r="CE4" t="s">
        <v>3</v>
      </c>
      <c r="CF4" t="s">
        <v>3</v>
      </c>
      <c r="CG4" t="s">
        <v>3</v>
      </c>
      <c r="CH4" t="s">
        <v>3</v>
      </c>
      <c r="CI4" t="s">
        <v>3</v>
      </c>
      <c r="CJ4" t="s">
        <v>3</v>
      </c>
      <c r="CK4" t="s">
        <v>3</v>
      </c>
      <c r="CL4" t="s">
        <v>3</v>
      </c>
      <c r="CM4" t="str">
        <f>"Lista nr 6 — KW Polska Razem Jarosława Gowina"</f>
        <v>Lista nr 6 — KW Polska Razem Jarosława Gowina</v>
      </c>
      <c r="CN4" t="s">
        <v>3</v>
      </c>
      <c r="CO4" t="s">
        <v>3</v>
      </c>
      <c r="CP4" t="s">
        <v>3</v>
      </c>
      <c r="CQ4" t="s">
        <v>3</v>
      </c>
      <c r="CR4" t="s">
        <v>3</v>
      </c>
      <c r="CS4" t="s">
        <v>3</v>
      </c>
      <c r="CT4" t="s">
        <v>3</v>
      </c>
      <c r="CU4" t="s">
        <v>3</v>
      </c>
      <c r="CV4" t="s">
        <v>3</v>
      </c>
      <c r="CW4" t="s">
        <v>3</v>
      </c>
      <c r="CX4" t="s">
        <v>3</v>
      </c>
      <c r="CY4" t="str">
        <f>"Lista nr 7 — KW Nowa Prawica – Janusza Korwin-Mikke"</f>
        <v>Lista nr 7 — KW Nowa Prawica – Janusza Korwin-Mikke</v>
      </c>
      <c r="CZ4" t="s">
        <v>3</v>
      </c>
      <c r="DA4" t="s">
        <v>3</v>
      </c>
      <c r="DB4" t="s">
        <v>3</v>
      </c>
      <c r="DC4" t="s">
        <v>3</v>
      </c>
      <c r="DD4" t="s">
        <v>3</v>
      </c>
      <c r="DE4" t="s">
        <v>3</v>
      </c>
      <c r="DF4" t="s">
        <v>3</v>
      </c>
      <c r="DG4" t="s">
        <v>3</v>
      </c>
      <c r="DH4" t="s">
        <v>3</v>
      </c>
      <c r="DI4" t="s">
        <v>3</v>
      </c>
      <c r="DJ4" t="s">
        <v>3</v>
      </c>
      <c r="DK4" t="str">
        <f>"Lista nr 8 — KW Platforma Obywatelska RP"</f>
        <v>Lista nr 8 — KW Platforma Obywatelska RP</v>
      </c>
      <c r="DL4" t="s">
        <v>3</v>
      </c>
      <c r="DM4" t="s">
        <v>3</v>
      </c>
      <c r="DN4" t="s">
        <v>3</v>
      </c>
      <c r="DO4" t="s">
        <v>3</v>
      </c>
      <c r="DP4" t="s">
        <v>3</v>
      </c>
      <c r="DQ4" t="s">
        <v>3</v>
      </c>
      <c r="DR4" t="s">
        <v>3</v>
      </c>
      <c r="DS4" t="s">
        <v>3</v>
      </c>
      <c r="DT4" t="s">
        <v>3</v>
      </c>
      <c r="DU4" t="s">
        <v>3</v>
      </c>
      <c r="DV4" t="s">
        <v>3</v>
      </c>
      <c r="DW4" t="str">
        <f>"Lista nr 9 — Komitet Wyborczy Polskie Stronnictwo Ludowe"</f>
        <v>Lista nr 9 — Komitet Wyborczy Polskie Stronnictwo Ludowe</v>
      </c>
      <c r="DX4" t="s">
        <v>3</v>
      </c>
      <c r="DY4" t="s">
        <v>3</v>
      </c>
      <c r="DZ4" t="s">
        <v>3</v>
      </c>
      <c r="EA4" t="s">
        <v>3</v>
      </c>
      <c r="EB4" t="s">
        <v>3</v>
      </c>
      <c r="EC4" t="s">
        <v>3</v>
      </c>
      <c r="ED4" t="s">
        <v>3</v>
      </c>
      <c r="EE4" t="s">
        <v>3</v>
      </c>
      <c r="EF4" t="s">
        <v>3</v>
      </c>
      <c r="EG4" t="s">
        <v>3</v>
      </c>
      <c r="EH4" t="s">
        <v>3</v>
      </c>
      <c r="EI4" t="str">
        <f>"Lista nr 10 — Komitet Wyborczy Demokracja Bezpośrednia"</f>
        <v>Lista nr 10 — Komitet Wyborczy Demokracja Bezpośrednia</v>
      </c>
      <c r="EJ4" t="s">
        <v>3</v>
      </c>
      <c r="EK4" t="s">
        <v>3</v>
      </c>
      <c r="EL4" t="s">
        <v>3</v>
      </c>
      <c r="EM4" t="s">
        <v>3</v>
      </c>
      <c r="EN4" t="s">
        <v>3</v>
      </c>
      <c r="EO4" t="s">
        <v>3</v>
      </c>
      <c r="EP4" t="s">
        <v>3</v>
      </c>
      <c r="EQ4" t="s">
        <v>3</v>
      </c>
      <c r="ER4" t="s">
        <v>3</v>
      </c>
      <c r="ES4" t="str">
        <f>"Lista nr 11 — KW Samoobrona"</f>
        <v>Lista nr 11 — KW Samoobrona</v>
      </c>
      <c r="ET4" t="s">
        <v>3</v>
      </c>
      <c r="EU4" t="s">
        <v>3</v>
      </c>
      <c r="EV4" t="s">
        <v>3</v>
      </c>
      <c r="EW4" t="s">
        <v>3</v>
      </c>
      <c r="EX4" t="s">
        <v>3</v>
      </c>
      <c r="EY4" t="s">
        <v>3</v>
      </c>
      <c r="EZ4" t="s">
        <v>3</v>
      </c>
      <c r="FA4" t="s">
        <v>3</v>
      </c>
      <c r="FB4" t="s">
        <v>3</v>
      </c>
      <c r="FC4" t="s">
        <v>3</v>
      </c>
      <c r="FD4" t="s">
        <v>3</v>
      </c>
      <c r="FE4" t="str">
        <f>"Lista nr 12 — Komitet Wyborczy Partia Zieloni"</f>
        <v>Lista nr 12 — Komitet Wyborczy Partia Zieloni</v>
      </c>
      <c r="FF4" t="s">
        <v>3</v>
      </c>
      <c r="FG4" t="s">
        <v>3</v>
      </c>
      <c r="FH4" t="s">
        <v>3</v>
      </c>
      <c r="FI4" t="s">
        <v>3</v>
      </c>
      <c r="FJ4" t="s">
        <v>3</v>
      </c>
      <c r="FK4" t="s">
        <v>3</v>
      </c>
      <c r="FL4" t="s">
        <v>3</v>
      </c>
      <c r="FM4" t="s">
        <v>3</v>
      </c>
      <c r="FN4" t="s">
        <v>3</v>
      </c>
      <c r="FO4" t="s">
        <v>3</v>
      </c>
      <c r="FP4" t="s">
        <v>3</v>
      </c>
    </row>
    <row r="5" spans="1:172" ht="14.2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  <c r="W5" t="s">
        <v>26</v>
      </c>
      <c r="X5" t="s">
        <v>27</v>
      </c>
      <c r="Y5" t="s">
        <v>28</v>
      </c>
      <c r="Z5" t="s">
        <v>29</v>
      </c>
      <c r="AA5" t="s">
        <v>30</v>
      </c>
      <c r="AB5" t="s">
        <v>31</v>
      </c>
      <c r="AC5" t="s">
        <v>32</v>
      </c>
      <c r="AD5" t="s">
        <v>33</v>
      </c>
      <c r="AE5" t="s">
        <v>34</v>
      </c>
      <c r="AF5" t="str">
        <f>"WOŹNIAK Tadeusz Jacek"</f>
        <v>WOŹNIAK Tadeusz Jacek</v>
      </c>
      <c r="AG5" t="str">
        <f>"SOWIŃSKA Ewa Barbara"</f>
        <v>SOWIŃSKA Ewa Barbara</v>
      </c>
      <c r="AH5" t="str">
        <f>"MACIEJEWSKI Krzysztof"</f>
        <v>MACIEJEWSKI Krzysztof</v>
      </c>
      <c r="AI5" t="str">
        <f>"GENS Teresa Brygida"</f>
        <v>GENS Teresa Brygida</v>
      </c>
      <c r="AJ5" t="str">
        <f>"ROŻENEK Andrzej Franciszek"</f>
        <v>ROŻENEK Andrzej Franciszek</v>
      </c>
      <c r="AK5" t="str">
        <f>"KOCZUR Marian Józef"</f>
        <v>KOCZUR Marian Józef</v>
      </c>
      <c r="AL5" t="str">
        <f>"ŚWIĄTKOWSKA Paulina Anna"</f>
        <v>ŚWIĄTKOWSKA Paulina Anna</v>
      </c>
      <c r="AM5" t="str">
        <f>"SZYDŁOWSKI Adam Marian"</f>
        <v>SZYDŁOWSKI Adam Marian</v>
      </c>
      <c r="AN5" t="str">
        <f>"OWCZAREK Izabela Oliwia"</f>
        <v>OWCZAREK Izabela Oliwia</v>
      </c>
      <c r="AO5" t="str">
        <f>"SŁOWIŃSKI Michał Piotr"</f>
        <v>SŁOWIŃSKI Michał Piotr</v>
      </c>
      <c r="AP5" t="s">
        <v>35</v>
      </c>
      <c r="AQ5" t="s">
        <v>34</v>
      </c>
      <c r="AR5" t="str">
        <f>"MIGUS Maciej Stanisław"</f>
        <v>MIGUS Maciej Stanisław</v>
      </c>
      <c r="AS5" t="str">
        <f>"WALISZEWSKI Jan Nikodem"</f>
        <v>WALISZEWSKI Jan Nikodem</v>
      </c>
      <c r="AT5" t="str">
        <f>"ŻARNECKI Adrian Iwo"</f>
        <v>ŻARNECKI Adrian Iwo</v>
      </c>
      <c r="AU5" t="str">
        <f>"HEJNIAK Sebastian Patryk"</f>
        <v>HEJNIAK Sebastian Patryk</v>
      </c>
      <c r="AV5" t="str">
        <f>"BERNAT Patrycja"</f>
        <v>BERNAT Patrycja</v>
      </c>
      <c r="AW5" t="str">
        <f>"SZTEMBOROWSKI Grzegorz Zbigniew"</f>
        <v>SZTEMBOROWSKI Grzegorz Zbigniew</v>
      </c>
      <c r="AX5" t="str">
        <f>"MONETA Katarzyna Justyna"</f>
        <v>MONETA Katarzyna Justyna</v>
      </c>
      <c r="AY5" t="str">
        <f>"CHYBAŁA Karolina Marianna"</f>
        <v>CHYBAŁA Karolina Marianna</v>
      </c>
      <c r="AZ5" t="str">
        <f>"JABŁOŃSKI Wojciech"</f>
        <v>JABŁOŃSKI Wojciech</v>
      </c>
      <c r="BA5" t="str">
        <f>"NOWACKA Monika"</f>
        <v>NOWACKA Monika</v>
      </c>
      <c r="BB5" t="s">
        <v>35</v>
      </c>
      <c r="BC5" t="s">
        <v>34</v>
      </c>
      <c r="BD5" t="str">
        <f>"MARCZUK Weronika Olena"</f>
        <v>MARCZUK Weronika Olena</v>
      </c>
      <c r="BE5" t="str">
        <f>"MATUSZAK Grzegorz Jan"</f>
        <v>MATUSZAK Grzegorz Jan</v>
      </c>
      <c r="BF5" t="str">
        <f>"KRASIŃSKI Zbigniew Stanisław"</f>
        <v>KRASIŃSKI Zbigniew Stanisław</v>
      </c>
      <c r="BG5" t="str">
        <f>"BORZĘCKA Jolanta Maria"</f>
        <v>BORZĘCKA Jolanta Maria</v>
      </c>
      <c r="BH5" t="str">
        <f>"KARCZ Tadeusz"</f>
        <v>KARCZ Tadeusz</v>
      </c>
      <c r="BI5" t="str">
        <f>"DĘBSKA Anna Janina"</f>
        <v>DĘBSKA Anna Janina</v>
      </c>
      <c r="BJ5" t="str">
        <f>"ROZPARA Tadeusz"</f>
        <v>ROZPARA Tadeusz</v>
      </c>
      <c r="BK5" t="str">
        <f>"DZIEMDZIELA Paweł"</f>
        <v>DZIEMDZIELA Paweł</v>
      </c>
      <c r="BL5" t="str">
        <f>"WOJTCZAK Dorota Barbara"</f>
        <v>WOJTCZAK Dorota Barbara</v>
      </c>
      <c r="BM5" t="str">
        <f>"BĄKIEWICZ Michał Bogusław"</f>
        <v>BĄKIEWICZ Michał Bogusław</v>
      </c>
      <c r="BN5" t="s">
        <v>35</v>
      </c>
      <c r="BO5" t="s">
        <v>34</v>
      </c>
      <c r="BP5" t="str">
        <f>"WOJCIECHOWSKI Janusz Czesław"</f>
        <v>WOJCIECHOWSKI Janusz Czesław</v>
      </c>
      <c r="BQ5" t="str">
        <f>"KRUPA Urszula Irena"</f>
        <v>KRUPA Urszula Irena</v>
      </c>
      <c r="BR5" t="str">
        <f>"WASZCZYKOWSKI Witold Jan"</f>
        <v>WASZCZYKOWSKI Witold Jan</v>
      </c>
      <c r="BS5" t="str">
        <f>"POLAK Piotr Stanisław"</f>
        <v>POLAK Piotr Stanisław</v>
      </c>
      <c r="BT5" t="str">
        <f>"SZAŁKOWSKA-WEST Ewa Maria"</f>
        <v>SZAŁKOWSKA-WEST Ewa Maria</v>
      </c>
      <c r="BU5" t="str">
        <f>"TELUS Robert"</f>
        <v>TELUS Robert</v>
      </c>
      <c r="BV5" t="str">
        <f>"KOPERSKA Iwona Edyta"</f>
        <v>KOPERSKA Iwona Edyta</v>
      </c>
      <c r="BW5" t="str">
        <f>"GRABEK Anna Małgorzata"</f>
        <v>GRABEK Anna Małgorzata</v>
      </c>
      <c r="BX5" t="str">
        <f>"OLEJNIK Wiesława Helena"</f>
        <v>OLEJNIK Wiesława Helena</v>
      </c>
      <c r="BY5" t="str">
        <f>"MATUSZEWSKI Marek"</f>
        <v>MATUSZEWSKI Marek</v>
      </c>
      <c r="BZ5" t="s">
        <v>35</v>
      </c>
      <c r="CA5" t="s">
        <v>34</v>
      </c>
      <c r="CB5" t="str">
        <f>"WÓJCIAK-PLEYN Ewa Maria"</f>
        <v>WÓJCIAK-PLEYN Ewa Maria</v>
      </c>
      <c r="CC5" t="str">
        <f>"MAKOWSKI Krzysztof Michał"</f>
        <v>MAKOWSKI Krzysztof Michał</v>
      </c>
      <c r="CD5" t="str">
        <f>"ŁUCZAK Agnieszka Maria"</f>
        <v>ŁUCZAK Agnieszka Maria</v>
      </c>
      <c r="CE5" t="str">
        <f>"KRAWCZYK Michał"</f>
        <v>KRAWCZYK Michał</v>
      </c>
      <c r="CF5" t="str">
        <f>"GRYNIEWICZ Małgorzata Eleonora"</f>
        <v>GRYNIEWICZ Małgorzata Eleonora</v>
      </c>
      <c r="CG5" t="str">
        <f>"KOZAK Rafał Piotr"</f>
        <v>KOZAK Rafał Piotr</v>
      </c>
      <c r="CH5" t="str">
        <f>"DIDOWICZ Anna"</f>
        <v>DIDOWICZ Anna</v>
      </c>
      <c r="CI5" t="str">
        <f>"LEWANDOWSKI Marcin Paweł"</f>
        <v>LEWANDOWSKI Marcin Paweł</v>
      </c>
      <c r="CJ5" t="str">
        <f>"WYPYCH Ewelina"</f>
        <v>WYPYCH Ewelina</v>
      </c>
      <c r="CK5" t="str">
        <f>"PACHOLSKI Michał Tomasz"</f>
        <v>PACHOLSKI Michał Tomasz</v>
      </c>
      <c r="CL5" t="s">
        <v>35</v>
      </c>
      <c r="CM5" t="s">
        <v>34</v>
      </c>
      <c r="CN5" t="str">
        <f>"GODSON John Abraham"</f>
        <v>GODSON John Abraham</v>
      </c>
      <c r="CO5" t="str">
        <f>"NOWAK Małgorzata Eugenia"</f>
        <v>NOWAK Małgorzata Eugenia</v>
      </c>
      <c r="CP5" t="str">
        <f>"WARZECHA Jarosław Jerzy"</f>
        <v>WARZECHA Jarosław Jerzy</v>
      </c>
      <c r="CQ5" t="str">
        <f>"WALCZAK Joanna Izabela"</f>
        <v>WALCZAK Joanna Izabela</v>
      </c>
      <c r="CR5" t="str">
        <f>"ARKUSZ Radosław Michał"</f>
        <v>ARKUSZ Radosław Michał</v>
      </c>
      <c r="CS5" t="str">
        <f>"BORKOWSKI Bartosz Mieczysław"</f>
        <v>BORKOWSKI Bartosz Mieczysław</v>
      </c>
      <c r="CT5" t="str">
        <f>"BŁOŃSKA-SUK Marzena Małgorzata"</f>
        <v>BŁOŃSKA-SUK Marzena Małgorzata</v>
      </c>
      <c r="CU5" t="str">
        <f>"STEFANEK Mirosław Wojciech"</f>
        <v>STEFANEK Mirosław Wojciech</v>
      </c>
      <c r="CV5" t="str">
        <f>"KUPIS-URBANIAK Mirosława"</f>
        <v>KUPIS-URBANIAK Mirosława</v>
      </c>
      <c r="CW5" t="str">
        <f>"GAWRON Jakub Mateusz"</f>
        <v>GAWRON Jakub Mateusz</v>
      </c>
      <c r="CX5" t="s">
        <v>35</v>
      </c>
      <c r="CY5" t="s">
        <v>34</v>
      </c>
      <c r="CZ5" t="str">
        <f>"WOCH Adam"</f>
        <v>WOCH Adam</v>
      </c>
      <c r="DA5" t="str">
        <f>"BUDZISZ Emilia Małgorzata"</f>
        <v>BUDZISZ Emilia Małgorzata</v>
      </c>
      <c r="DB5" t="str">
        <f>"MALKA Andrzej Roman"</f>
        <v>MALKA Andrzej Roman</v>
      </c>
      <c r="DC5" t="str">
        <f>"SŁOTA Tomasz Andrzej"</f>
        <v>SŁOTA Tomasz Andrzej</v>
      </c>
      <c r="DD5" t="str">
        <f>"UTECHT Greta"</f>
        <v>UTECHT Greta</v>
      </c>
      <c r="DE5" t="str">
        <f>"LIPCZYK Zbigniew Jerzy"</f>
        <v>LIPCZYK Zbigniew Jerzy</v>
      </c>
      <c r="DF5" t="str">
        <f>"DOBIESZ Alicja Maria"</f>
        <v>DOBIESZ Alicja Maria</v>
      </c>
      <c r="DG5" t="str">
        <f>"ZIELIŃSKI Konrad Aleksander"</f>
        <v>ZIELIŃSKI Konrad Aleksander</v>
      </c>
      <c r="DH5" t="str">
        <f>"PAWŁOWSKA Iga Aleksandra"</f>
        <v>PAWŁOWSKA Iga Aleksandra</v>
      </c>
      <c r="DI5" t="str">
        <f>"SYGA Artur Jerzy"</f>
        <v>SYGA Artur Jerzy</v>
      </c>
      <c r="DJ5" t="s">
        <v>35</v>
      </c>
      <c r="DK5" t="s">
        <v>34</v>
      </c>
      <c r="DL5" t="str">
        <f>"SARYUSZ-WOLSKI Jacek Emil"</f>
        <v>SARYUSZ-WOLSKI Jacek Emil</v>
      </c>
      <c r="DM5" t="str">
        <f>"SKRZYDLEWSKA Joanna Katarzyna"</f>
        <v>SKRZYDLEWSKA Joanna Katarzyna</v>
      </c>
      <c r="DN5" t="str">
        <f>"MALARECKI Krzysztof Bogusław"</f>
        <v>MALARECKI Krzysztof Bogusław</v>
      </c>
      <c r="DO5" t="str">
        <f>"RYL Dorota Helena"</f>
        <v>RYL Dorota Helena</v>
      </c>
      <c r="DP5" t="str">
        <f>"GAJEWSKI Arkadiusz Paweł"</f>
        <v>GAJEWSKI Arkadiusz Paweł</v>
      </c>
      <c r="DQ5" t="str">
        <f>"RABIEGA Anna Barbara"</f>
        <v>RABIEGA Anna Barbara</v>
      </c>
      <c r="DR5" t="str">
        <f>"ZATORSKI Jacek Andrzej"</f>
        <v>ZATORSKI Jacek Andrzej</v>
      </c>
      <c r="DS5" t="str">
        <f>"PIETRZAK Teresa Wiesława"</f>
        <v>PIETRZAK Teresa Wiesława</v>
      </c>
      <c r="DT5" t="str">
        <f>"ZIEMNIEWICZ Bożena Maria"</f>
        <v>ZIEMNIEWICZ Bożena Maria</v>
      </c>
      <c r="DU5" t="str">
        <f>"BONISŁAWSKI Ryszard Wiesław"</f>
        <v>BONISŁAWSKI Ryszard Wiesław</v>
      </c>
      <c r="DV5" t="s">
        <v>35</v>
      </c>
      <c r="DW5" t="s">
        <v>34</v>
      </c>
      <c r="DX5" t="str">
        <f>"ŁUCZAK Mieczysław Marcin"</f>
        <v>ŁUCZAK Mieczysław Marcin</v>
      </c>
      <c r="DY5" t="str">
        <f>"OZGA Krystyna Ewa"</f>
        <v>OZGA Krystyna Ewa</v>
      </c>
      <c r="DZ5" t="str">
        <f>"TELATYCKI Czesław Krzysztof"</f>
        <v>TELATYCKI Czesław Krzysztof</v>
      </c>
      <c r="EA5" t="str">
        <f>"BEJDA Paweł Jan"</f>
        <v>BEJDA Paweł Jan</v>
      </c>
      <c r="EB5" t="str">
        <f>"MAZUR Marek Marian"</f>
        <v>MAZUR Marek Marian</v>
      </c>
      <c r="EC5" t="str">
        <f>"KLIMCZAK Dariusz"</f>
        <v>KLIMCZAK Dariusz</v>
      </c>
      <c r="ED5" t="str">
        <f>"NAWROCKA Elżbieta Renata"</f>
        <v>NAWROCKA Elżbieta Renata</v>
      </c>
      <c r="EE5" t="str">
        <f>"KACZOROWSKA Maria"</f>
        <v>KACZOROWSKA Maria</v>
      </c>
      <c r="EF5" t="str">
        <f>"GABRYELCZAK Małgorzata"</f>
        <v>GABRYELCZAK Małgorzata</v>
      </c>
      <c r="EG5" t="str">
        <f>"BAGIEŃSKI Artur Jan"</f>
        <v>BAGIEŃSKI Artur Jan</v>
      </c>
      <c r="EH5" t="s">
        <v>35</v>
      </c>
      <c r="EI5" t="s">
        <v>34</v>
      </c>
      <c r="EJ5" t="str">
        <f>"SŁOWIŃSKI Tomasz Michał"</f>
        <v>SŁOWIŃSKI Tomasz Michał</v>
      </c>
      <c r="EK5" t="str">
        <f>"KWAŚNIEWSKI Aleksander"</f>
        <v>KWAŚNIEWSKI Aleksander</v>
      </c>
      <c r="EL5" t="str">
        <f>"DYDYCZ Michał Karol"</f>
        <v>DYDYCZ Michał Karol</v>
      </c>
      <c r="EM5" t="str">
        <f>"KOLBUSZ Paulina Diana"</f>
        <v>KOLBUSZ Paulina Diana</v>
      </c>
      <c r="EN5" t="str">
        <f>"ROSZATYCKI Piotr Kamil"</f>
        <v>ROSZATYCKI Piotr Kamil</v>
      </c>
      <c r="EO5" t="str">
        <f>"KAMIŃSKA Magdalena Maria"</f>
        <v>KAMIŃSKA Magdalena Maria</v>
      </c>
      <c r="EP5" t="str">
        <f>"SZEWCZYK Kinga"</f>
        <v>SZEWCZYK Kinga</v>
      </c>
      <c r="EQ5" t="str">
        <f>"JAROS-KAMIŃSKA Barbara"</f>
        <v>JAROS-KAMIŃSKA Barbara</v>
      </c>
      <c r="ER5" t="s">
        <v>35</v>
      </c>
      <c r="ES5" t="s">
        <v>34</v>
      </c>
      <c r="ET5" t="str">
        <f>"URBANIAK Andrzej"</f>
        <v>URBANIAK Andrzej</v>
      </c>
      <c r="EU5" t="str">
        <f>"SOBCZYK Michał"</f>
        <v>SOBCZYK Michał</v>
      </c>
      <c r="EV5" t="str">
        <f>"ANDRYSIAK Grzegorz Witold"</f>
        <v>ANDRYSIAK Grzegorz Witold</v>
      </c>
      <c r="EW5" t="str">
        <f>"MARCINKOWSKA-ADAMIAK Henryka Janina"</f>
        <v>MARCINKOWSKA-ADAMIAK Henryka Janina</v>
      </c>
      <c r="EX5" t="str">
        <f>"SŁOWAKIEWICZ Sebastian Stanisław"</f>
        <v>SŁOWAKIEWICZ Sebastian Stanisław</v>
      </c>
      <c r="EY5" t="str">
        <f>"WOŹNIAKOWSKA Grażyna"</f>
        <v>WOŹNIAKOWSKA Grażyna</v>
      </c>
      <c r="EZ5" t="str">
        <f>"HERBRICH Ryszard Walenty"</f>
        <v>HERBRICH Ryszard Walenty</v>
      </c>
      <c r="FA5" t="str">
        <f>"PIOTROWSKA Małgorzata Ewa"</f>
        <v>PIOTROWSKA Małgorzata Ewa</v>
      </c>
      <c r="FB5" t="str">
        <f>"PIETRZYKOWSKA Maria Helena"</f>
        <v>PIETRZYKOWSKA Maria Helena</v>
      </c>
      <c r="FC5" t="str">
        <f>"MAJKOWSKI Bronisław Mirosław"</f>
        <v>MAJKOWSKI Bronisław Mirosław</v>
      </c>
      <c r="FD5" t="s">
        <v>35</v>
      </c>
      <c r="FE5" t="s">
        <v>34</v>
      </c>
      <c r="FF5" t="str">
        <f>"MIRYS Mateusz Piotr"</f>
        <v>MIRYS Mateusz Piotr</v>
      </c>
      <c r="FG5" t="str">
        <f>"DESPERAK Izabela Barbara"</f>
        <v>DESPERAK Izabela Barbara</v>
      </c>
      <c r="FH5" t="str">
        <f>"HAJNCEL Paweł Wojciech"</f>
        <v>HAJNCEL Paweł Wojciech</v>
      </c>
      <c r="FI5" t="str">
        <f>"MUSIELAK Karolina Jolanta"</f>
        <v>MUSIELAK Karolina Jolanta</v>
      </c>
      <c r="FJ5" t="str">
        <f>"MARZEC Waldemar"</f>
        <v>MARZEC Waldemar</v>
      </c>
      <c r="FK5" t="str">
        <f>"GROBLEWSKA-DURAJSKA Bogusława Maria"</f>
        <v>GROBLEWSKA-DURAJSKA Bogusława Maria</v>
      </c>
      <c r="FL5" t="str">
        <f>"DOBROWOLSKI Dawid"</f>
        <v>DOBROWOLSKI Dawid</v>
      </c>
      <c r="FM5" t="str">
        <f>"KRYSIAK Wioleta Magdalena"</f>
        <v>KRYSIAK Wioleta Magdalena</v>
      </c>
      <c r="FN5" t="str">
        <f>"ORZECHOWSKI Tomasz"</f>
        <v>ORZECHOWSKI Tomasz</v>
      </c>
      <c r="FO5" t="str">
        <f>"ADAMSKA Teresa Maria"</f>
        <v>ADAMSKA Teresa Maria</v>
      </c>
      <c r="FP5" t="s">
        <v>35</v>
      </c>
    </row>
    <row r="6" spans="1:172" ht="14.25">
      <c r="A6">
        <v>1</v>
      </c>
      <c r="B6" t="str">
        <f aca="true" t="shared" si="0" ref="B6:B30">"100201"</f>
        <v>100201</v>
      </c>
      <c r="C6" t="str">
        <f aca="true" t="shared" si="1" ref="C6:C30">"m. Kutno"</f>
        <v>m. Kutno</v>
      </c>
      <c r="D6" t="str">
        <f aca="true" t="shared" si="2" ref="D6:D37">"kutnowski"</f>
        <v>kutnowski</v>
      </c>
      <c r="E6" t="str">
        <f aca="true" t="shared" si="3" ref="E6:E69">"łódzkie"</f>
        <v>łódzkie</v>
      </c>
      <c r="F6">
        <v>1</v>
      </c>
      <c r="G6" t="str">
        <f>"Muzeum Regionalne, Plac Marszałka Józefa Piłsudskiego 20, 99-300 Kutno"</f>
        <v>Muzeum Regionalne, Plac Marszałka Józefa Piłsudskiego 20, 99-300 Kutno</v>
      </c>
      <c r="H6">
        <v>1907</v>
      </c>
      <c r="I6">
        <v>1907</v>
      </c>
      <c r="J6">
        <v>0</v>
      </c>
      <c r="K6">
        <v>1360</v>
      </c>
      <c r="L6">
        <v>998</v>
      </c>
      <c r="M6">
        <v>362</v>
      </c>
      <c r="N6">
        <v>362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362</v>
      </c>
      <c r="Z6">
        <v>0</v>
      </c>
      <c r="AA6">
        <v>0</v>
      </c>
      <c r="AB6">
        <v>362</v>
      </c>
      <c r="AC6">
        <v>8</v>
      </c>
      <c r="AD6">
        <v>354</v>
      </c>
      <c r="AE6">
        <v>37</v>
      </c>
      <c r="AF6">
        <v>36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37</v>
      </c>
      <c r="AQ6">
        <v>5</v>
      </c>
      <c r="AR6">
        <v>2</v>
      </c>
      <c r="AS6">
        <v>2</v>
      </c>
      <c r="AT6">
        <v>0</v>
      </c>
      <c r="AU6">
        <v>0</v>
      </c>
      <c r="AV6">
        <v>0</v>
      </c>
      <c r="AW6">
        <v>0</v>
      </c>
      <c r="AX6">
        <v>1</v>
      </c>
      <c r="AY6">
        <v>0</v>
      </c>
      <c r="AZ6">
        <v>0</v>
      </c>
      <c r="BA6">
        <v>0</v>
      </c>
      <c r="BB6">
        <v>5</v>
      </c>
      <c r="BC6">
        <v>44</v>
      </c>
      <c r="BD6">
        <v>19</v>
      </c>
      <c r="BE6">
        <v>4</v>
      </c>
      <c r="BF6">
        <v>2</v>
      </c>
      <c r="BG6">
        <v>1</v>
      </c>
      <c r="BH6">
        <v>1</v>
      </c>
      <c r="BI6">
        <v>0</v>
      </c>
      <c r="BJ6">
        <v>0</v>
      </c>
      <c r="BK6">
        <v>0</v>
      </c>
      <c r="BL6">
        <v>8</v>
      </c>
      <c r="BM6">
        <v>9</v>
      </c>
      <c r="BN6">
        <v>44</v>
      </c>
      <c r="BO6">
        <v>119</v>
      </c>
      <c r="BP6">
        <v>102</v>
      </c>
      <c r="BQ6">
        <v>3</v>
      </c>
      <c r="BR6">
        <v>8</v>
      </c>
      <c r="BS6">
        <v>3</v>
      </c>
      <c r="BT6">
        <v>0</v>
      </c>
      <c r="BU6">
        <v>0</v>
      </c>
      <c r="BV6">
        <v>0</v>
      </c>
      <c r="BW6">
        <v>0</v>
      </c>
      <c r="BX6">
        <v>2</v>
      </c>
      <c r="BY6">
        <v>1</v>
      </c>
      <c r="BZ6">
        <v>119</v>
      </c>
      <c r="CA6">
        <v>4</v>
      </c>
      <c r="CB6">
        <v>1</v>
      </c>
      <c r="CC6">
        <v>1</v>
      </c>
      <c r="CD6">
        <v>0</v>
      </c>
      <c r="CE6">
        <v>0</v>
      </c>
      <c r="CF6">
        <v>0</v>
      </c>
      <c r="CG6">
        <v>0</v>
      </c>
      <c r="CH6">
        <v>0</v>
      </c>
      <c r="CI6">
        <v>2</v>
      </c>
      <c r="CJ6">
        <v>0</v>
      </c>
      <c r="CK6">
        <v>0</v>
      </c>
      <c r="CL6">
        <v>4</v>
      </c>
      <c r="CM6">
        <v>2</v>
      </c>
      <c r="CN6">
        <v>1</v>
      </c>
      <c r="CO6">
        <v>0</v>
      </c>
      <c r="CP6">
        <v>0</v>
      </c>
      <c r="CQ6">
        <v>1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2</v>
      </c>
      <c r="CY6">
        <v>16</v>
      </c>
      <c r="CZ6">
        <v>7</v>
      </c>
      <c r="DA6">
        <v>2</v>
      </c>
      <c r="DB6">
        <v>0</v>
      </c>
      <c r="DC6">
        <v>1</v>
      </c>
      <c r="DD6">
        <v>0</v>
      </c>
      <c r="DE6">
        <v>1</v>
      </c>
      <c r="DF6">
        <v>1</v>
      </c>
      <c r="DG6">
        <v>1</v>
      </c>
      <c r="DH6">
        <v>1</v>
      </c>
      <c r="DI6">
        <v>2</v>
      </c>
      <c r="DJ6">
        <v>16</v>
      </c>
      <c r="DK6">
        <v>113</v>
      </c>
      <c r="DL6">
        <v>90</v>
      </c>
      <c r="DM6">
        <v>16</v>
      </c>
      <c r="DN6">
        <v>2</v>
      </c>
      <c r="DO6">
        <v>0</v>
      </c>
      <c r="DP6">
        <v>1</v>
      </c>
      <c r="DQ6">
        <v>0</v>
      </c>
      <c r="DR6">
        <v>0</v>
      </c>
      <c r="DS6">
        <v>0</v>
      </c>
      <c r="DT6">
        <v>1</v>
      </c>
      <c r="DU6">
        <v>3</v>
      </c>
      <c r="DV6">
        <v>113</v>
      </c>
      <c r="DW6">
        <v>7</v>
      </c>
      <c r="DX6">
        <v>1</v>
      </c>
      <c r="DY6">
        <v>1</v>
      </c>
      <c r="DZ6">
        <v>0</v>
      </c>
      <c r="EA6">
        <v>3</v>
      </c>
      <c r="EB6">
        <v>0</v>
      </c>
      <c r="EC6">
        <v>0</v>
      </c>
      <c r="ED6">
        <v>1</v>
      </c>
      <c r="EE6">
        <v>0</v>
      </c>
      <c r="EF6">
        <v>0</v>
      </c>
      <c r="EG6">
        <v>1</v>
      </c>
      <c r="EH6">
        <v>7</v>
      </c>
      <c r="EI6">
        <v>5</v>
      </c>
      <c r="EJ6">
        <v>1</v>
      </c>
      <c r="EK6">
        <v>1</v>
      </c>
      <c r="EL6">
        <v>0</v>
      </c>
      <c r="EM6">
        <v>0</v>
      </c>
      <c r="EN6">
        <v>0</v>
      </c>
      <c r="EO6">
        <v>2</v>
      </c>
      <c r="EP6">
        <v>1</v>
      </c>
      <c r="EQ6">
        <v>0</v>
      </c>
      <c r="ER6">
        <v>5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2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2</v>
      </c>
      <c r="FP6">
        <v>2</v>
      </c>
    </row>
    <row r="7" spans="1:172" ht="14.25">
      <c r="A7">
        <v>2</v>
      </c>
      <c r="B7" t="str">
        <f t="shared" si="0"/>
        <v>100201</v>
      </c>
      <c r="C7" t="str">
        <f t="shared" si="1"/>
        <v>m. Kutno</v>
      </c>
      <c r="D7" t="str">
        <f t="shared" si="2"/>
        <v>kutnowski</v>
      </c>
      <c r="E7" t="str">
        <f t="shared" si="3"/>
        <v>łódzkie</v>
      </c>
      <c r="F7">
        <v>2</v>
      </c>
      <c r="G7" t="str">
        <f>"Zespół Szkół Nr 1 im. St. Staszica, ul. Oporowska 7, 99-300 Kutno"</f>
        <v>Zespół Szkół Nr 1 im. St. Staszica, ul. Oporowska 7, 99-300 Kutno</v>
      </c>
      <c r="H7">
        <v>1592</v>
      </c>
      <c r="I7">
        <v>1592</v>
      </c>
      <c r="J7">
        <v>0</v>
      </c>
      <c r="K7">
        <v>1120</v>
      </c>
      <c r="L7">
        <v>743</v>
      </c>
      <c r="M7">
        <v>377</v>
      </c>
      <c r="N7">
        <v>377</v>
      </c>
      <c r="O7">
        <v>0</v>
      </c>
      <c r="P7">
        <v>0</v>
      </c>
      <c r="Q7">
        <v>2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377</v>
      </c>
      <c r="Z7">
        <v>0</v>
      </c>
      <c r="AA7">
        <v>1</v>
      </c>
      <c r="AB7">
        <v>376</v>
      </c>
      <c r="AC7">
        <v>12</v>
      </c>
      <c r="AD7">
        <v>364</v>
      </c>
      <c r="AE7">
        <v>27</v>
      </c>
      <c r="AF7">
        <v>26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27</v>
      </c>
      <c r="AQ7">
        <v>6</v>
      </c>
      <c r="AR7">
        <v>2</v>
      </c>
      <c r="AS7">
        <v>0</v>
      </c>
      <c r="AT7">
        <v>0</v>
      </c>
      <c r="AU7">
        <v>1</v>
      </c>
      <c r="AV7">
        <v>0</v>
      </c>
      <c r="AW7">
        <v>0</v>
      </c>
      <c r="AX7">
        <v>0</v>
      </c>
      <c r="AY7">
        <v>0</v>
      </c>
      <c r="AZ7">
        <v>1</v>
      </c>
      <c r="BA7">
        <v>2</v>
      </c>
      <c r="BB7">
        <v>6</v>
      </c>
      <c r="BC7">
        <v>38</v>
      </c>
      <c r="BD7">
        <v>13</v>
      </c>
      <c r="BE7">
        <v>7</v>
      </c>
      <c r="BF7">
        <v>1</v>
      </c>
      <c r="BG7">
        <v>3</v>
      </c>
      <c r="BH7">
        <v>1</v>
      </c>
      <c r="BI7">
        <v>2</v>
      </c>
      <c r="BJ7">
        <v>0</v>
      </c>
      <c r="BK7">
        <v>0</v>
      </c>
      <c r="BL7">
        <v>11</v>
      </c>
      <c r="BM7">
        <v>0</v>
      </c>
      <c r="BN7">
        <v>38</v>
      </c>
      <c r="BO7">
        <v>111</v>
      </c>
      <c r="BP7">
        <v>90</v>
      </c>
      <c r="BQ7">
        <v>2</v>
      </c>
      <c r="BR7">
        <v>1</v>
      </c>
      <c r="BS7">
        <v>8</v>
      </c>
      <c r="BT7">
        <v>1</v>
      </c>
      <c r="BU7">
        <v>2</v>
      </c>
      <c r="BV7">
        <v>1</v>
      </c>
      <c r="BW7">
        <v>1</v>
      </c>
      <c r="BX7">
        <v>0</v>
      </c>
      <c r="BY7">
        <v>5</v>
      </c>
      <c r="BZ7">
        <v>111</v>
      </c>
      <c r="CA7">
        <v>7</v>
      </c>
      <c r="CB7">
        <v>3</v>
      </c>
      <c r="CC7">
        <v>3</v>
      </c>
      <c r="CD7">
        <v>0</v>
      </c>
      <c r="CE7">
        <v>1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7</v>
      </c>
      <c r="CM7">
        <v>4</v>
      </c>
      <c r="CN7">
        <v>1</v>
      </c>
      <c r="CO7">
        <v>1</v>
      </c>
      <c r="CP7">
        <v>0</v>
      </c>
      <c r="CQ7">
        <v>0</v>
      </c>
      <c r="CR7">
        <v>0</v>
      </c>
      <c r="CS7">
        <v>0</v>
      </c>
      <c r="CT7">
        <v>0</v>
      </c>
      <c r="CU7">
        <v>1</v>
      </c>
      <c r="CV7">
        <v>0</v>
      </c>
      <c r="CW7">
        <v>1</v>
      </c>
      <c r="CX7">
        <v>4</v>
      </c>
      <c r="CY7">
        <v>25</v>
      </c>
      <c r="CZ7">
        <v>15</v>
      </c>
      <c r="DA7">
        <v>4</v>
      </c>
      <c r="DB7">
        <v>0</v>
      </c>
      <c r="DC7">
        <v>0</v>
      </c>
      <c r="DD7">
        <v>0</v>
      </c>
      <c r="DE7">
        <v>2</v>
      </c>
      <c r="DF7">
        <v>2</v>
      </c>
      <c r="DG7">
        <v>0</v>
      </c>
      <c r="DH7">
        <v>1</v>
      </c>
      <c r="DI7">
        <v>1</v>
      </c>
      <c r="DJ7">
        <v>25</v>
      </c>
      <c r="DK7">
        <v>129</v>
      </c>
      <c r="DL7">
        <v>96</v>
      </c>
      <c r="DM7">
        <v>18</v>
      </c>
      <c r="DN7">
        <v>2</v>
      </c>
      <c r="DO7">
        <v>3</v>
      </c>
      <c r="DP7">
        <v>0</v>
      </c>
      <c r="DQ7">
        <v>0</v>
      </c>
      <c r="DR7">
        <v>0</v>
      </c>
      <c r="DS7">
        <v>0</v>
      </c>
      <c r="DT7">
        <v>2</v>
      </c>
      <c r="DU7">
        <v>8</v>
      </c>
      <c r="DV7">
        <v>129</v>
      </c>
      <c r="DW7">
        <v>12</v>
      </c>
      <c r="DX7">
        <v>2</v>
      </c>
      <c r="DY7">
        <v>3</v>
      </c>
      <c r="DZ7">
        <v>0</v>
      </c>
      <c r="EA7">
        <v>2</v>
      </c>
      <c r="EB7">
        <v>0</v>
      </c>
      <c r="EC7">
        <v>2</v>
      </c>
      <c r="ED7">
        <v>0</v>
      </c>
      <c r="EE7">
        <v>2</v>
      </c>
      <c r="EF7">
        <v>0</v>
      </c>
      <c r="EG7">
        <v>1</v>
      </c>
      <c r="EH7">
        <v>12</v>
      </c>
      <c r="EI7">
        <v>3</v>
      </c>
      <c r="EJ7">
        <v>1</v>
      </c>
      <c r="EK7">
        <v>2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3</v>
      </c>
      <c r="ES7">
        <v>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1</v>
      </c>
      <c r="FC7">
        <v>0</v>
      </c>
      <c r="FD7">
        <v>1</v>
      </c>
      <c r="FE7">
        <v>1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1</v>
      </c>
      <c r="FM7">
        <v>0</v>
      </c>
      <c r="FN7">
        <v>0</v>
      </c>
      <c r="FO7">
        <v>0</v>
      </c>
      <c r="FP7">
        <v>1</v>
      </c>
    </row>
    <row r="8" spans="1:172" ht="14.25">
      <c r="A8">
        <v>3</v>
      </c>
      <c r="B8" t="str">
        <f t="shared" si="0"/>
        <v>100201</v>
      </c>
      <c r="C8" t="str">
        <f t="shared" si="1"/>
        <v>m. Kutno</v>
      </c>
      <c r="D8" t="str">
        <f t="shared" si="2"/>
        <v>kutnowski</v>
      </c>
      <c r="E8" t="str">
        <f t="shared" si="3"/>
        <v>łódzkie</v>
      </c>
      <c r="F8">
        <v>3</v>
      </c>
      <c r="G8" t="s">
        <v>36</v>
      </c>
      <c r="H8">
        <v>1915</v>
      </c>
      <c r="I8">
        <v>1915</v>
      </c>
      <c r="J8">
        <v>0</v>
      </c>
      <c r="K8">
        <v>1350</v>
      </c>
      <c r="L8">
        <v>881</v>
      </c>
      <c r="M8">
        <v>469</v>
      </c>
      <c r="N8">
        <v>469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469</v>
      </c>
      <c r="Z8">
        <v>0</v>
      </c>
      <c r="AA8">
        <v>0</v>
      </c>
      <c r="AB8">
        <v>469</v>
      </c>
      <c r="AC8">
        <v>10</v>
      </c>
      <c r="AD8">
        <v>459</v>
      </c>
      <c r="AE8">
        <v>32</v>
      </c>
      <c r="AF8">
        <v>30</v>
      </c>
      <c r="AG8">
        <v>0</v>
      </c>
      <c r="AH8">
        <v>0</v>
      </c>
      <c r="AI8">
        <v>1</v>
      </c>
      <c r="AJ8">
        <v>0</v>
      </c>
      <c r="AK8">
        <v>0</v>
      </c>
      <c r="AL8">
        <v>0</v>
      </c>
      <c r="AM8">
        <v>1</v>
      </c>
      <c r="AN8">
        <v>0</v>
      </c>
      <c r="AO8">
        <v>0</v>
      </c>
      <c r="AP8">
        <v>32</v>
      </c>
      <c r="AQ8">
        <v>4</v>
      </c>
      <c r="AR8">
        <v>3</v>
      </c>
      <c r="AS8">
        <v>0</v>
      </c>
      <c r="AT8">
        <v>0</v>
      </c>
      <c r="AU8">
        <v>1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4</v>
      </c>
      <c r="BC8">
        <v>59</v>
      </c>
      <c r="BD8">
        <v>26</v>
      </c>
      <c r="BE8">
        <v>6</v>
      </c>
      <c r="BF8">
        <v>1</v>
      </c>
      <c r="BG8">
        <v>3</v>
      </c>
      <c r="BH8">
        <v>2</v>
      </c>
      <c r="BI8">
        <v>2</v>
      </c>
      <c r="BJ8">
        <v>1</v>
      </c>
      <c r="BK8">
        <v>2</v>
      </c>
      <c r="BL8">
        <v>16</v>
      </c>
      <c r="BM8">
        <v>0</v>
      </c>
      <c r="BN8">
        <v>59</v>
      </c>
      <c r="BO8">
        <v>162</v>
      </c>
      <c r="BP8">
        <v>140</v>
      </c>
      <c r="BQ8">
        <v>8</v>
      </c>
      <c r="BR8">
        <v>6</v>
      </c>
      <c r="BS8">
        <v>2</v>
      </c>
      <c r="BT8">
        <v>0</v>
      </c>
      <c r="BU8">
        <v>0</v>
      </c>
      <c r="BV8">
        <v>0</v>
      </c>
      <c r="BW8">
        <v>1</v>
      </c>
      <c r="BX8">
        <v>0</v>
      </c>
      <c r="BY8">
        <v>5</v>
      </c>
      <c r="BZ8">
        <v>162</v>
      </c>
      <c r="CA8">
        <v>10</v>
      </c>
      <c r="CB8">
        <v>5</v>
      </c>
      <c r="CC8">
        <v>0</v>
      </c>
      <c r="CD8">
        <v>0</v>
      </c>
      <c r="CE8">
        <v>0</v>
      </c>
      <c r="CF8">
        <v>0</v>
      </c>
      <c r="CG8">
        <v>0</v>
      </c>
      <c r="CH8">
        <v>1</v>
      </c>
      <c r="CI8">
        <v>0</v>
      </c>
      <c r="CJ8">
        <v>3</v>
      </c>
      <c r="CK8">
        <v>1</v>
      </c>
      <c r="CL8">
        <v>10</v>
      </c>
      <c r="CM8">
        <v>9</v>
      </c>
      <c r="CN8">
        <v>8</v>
      </c>
      <c r="CO8">
        <v>1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9</v>
      </c>
      <c r="CY8">
        <v>6</v>
      </c>
      <c r="CZ8">
        <v>4</v>
      </c>
      <c r="DA8">
        <v>0</v>
      </c>
      <c r="DB8">
        <v>2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6</v>
      </c>
      <c r="DK8">
        <v>164</v>
      </c>
      <c r="DL8">
        <v>134</v>
      </c>
      <c r="DM8">
        <v>18</v>
      </c>
      <c r="DN8">
        <v>2</v>
      </c>
      <c r="DO8">
        <v>1</v>
      </c>
      <c r="DP8">
        <v>2</v>
      </c>
      <c r="DQ8">
        <v>3</v>
      </c>
      <c r="DR8">
        <v>0</v>
      </c>
      <c r="DS8">
        <v>3</v>
      </c>
      <c r="DT8">
        <v>0</v>
      </c>
      <c r="DU8">
        <v>1</v>
      </c>
      <c r="DV8">
        <v>164</v>
      </c>
      <c r="DW8">
        <v>10</v>
      </c>
      <c r="DX8">
        <v>1</v>
      </c>
      <c r="DY8">
        <v>1</v>
      </c>
      <c r="DZ8">
        <v>0</v>
      </c>
      <c r="EA8">
        <v>1</v>
      </c>
      <c r="EB8">
        <v>1</v>
      </c>
      <c r="EC8">
        <v>2</v>
      </c>
      <c r="ED8">
        <v>1</v>
      </c>
      <c r="EE8">
        <v>2</v>
      </c>
      <c r="EF8">
        <v>1</v>
      </c>
      <c r="EG8">
        <v>0</v>
      </c>
      <c r="EH8">
        <v>10</v>
      </c>
      <c r="EI8">
        <v>3</v>
      </c>
      <c r="EJ8">
        <v>1</v>
      </c>
      <c r="EK8">
        <v>2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3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</row>
    <row r="9" spans="1:172" ht="14.25">
      <c r="A9">
        <v>4</v>
      </c>
      <c r="B9" t="str">
        <f t="shared" si="0"/>
        <v>100201</v>
      </c>
      <c r="C9" t="str">
        <f t="shared" si="1"/>
        <v>m. Kutno</v>
      </c>
      <c r="D9" t="str">
        <f t="shared" si="2"/>
        <v>kutnowski</v>
      </c>
      <c r="E9" t="str">
        <f t="shared" si="3"/>
        <v>łódzkie</v>
      </c>
      <c r="F9">
        <v>4</v>
      </c>
      <c r="G9" t="str">
        <f>"Zespół Szkół Nr 3 im. Władysława Grabskiego, ul. Kościuszki 24, 99-300 Kutno"</f>
        <v>Zespół Szkół Nr 3 im. Władysława Grabskiego, ul. Kościuszki 24, 99-300 Kutno</v>
      </c>
      <c r="H9">
        <v>1652</v>
      </c>
      <c r="I9">
        <v>1652</v>
      </c>
      <c r="J9">
        <v>0</v>
      </c>
      <c r="K9">
        <v>1170</v>
      </c>
      <c r="L9">
        <v>736</v>
      </c>
      <c r="M9">
        <v>434</v>
      </c>
      <c r="N9">
        <v>434</v>
      </c>
      <c r="O9">
        <v>0</v>
      </c>
      <c r="P9">
        <v>0</v>
      </c>
      <c r="Q9">
        <v>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434</v>
      </c>
      <c r="Z9">
        <v>0</v>
      </c>
      <c r="AA9">
        <v>0</v>
      </c>
      <c r="AB9">
        <v>434</v>
      </c>
      <c r="AC9">
        <v>16</v>
      </c>
      <c r="AD9">
        <v>418</v>
      </c>
      <c r="AE9">
        <v>21</v>
      </c>
      <c r="AF9">
        <v>18</v>
      </c>
      <c r="AG9">
        <v>1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0</v>
      </c>
      <c r="AO9">
        <v>1</v>
      </c>
      <c r="AP9">
        <v>21</v>
      </c>
      <c r="AQ9">
        <v>7</v>
      </c>
      <c r="AR9">
        <v>5</v>
      </c>
      <c r="AS9">
        <v>1</v>
      </c>
      <c r="AT9">
        <v>0</v>
      </c>
      <c r="AU9">
        <v>0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7</v>
      </c>
      <c r="BC9">
        <v>49</v>
      </c>
      <c r="BD9">
        <v>20</v>
      </c>
      <c r="BE9">
        <v>8</v>
      </c>
      <c r="BF9">
        <v>0</v>
      </c>
      <c r="BG9">
        <v>0</v>
      </c>
      <c r="BH9">
        <v>0</v>
      </c>
      <c r="BI9">
        <v>1</v>
      </c>
      <c r="BJ9">
        <v>0</v>
      </c>
      <c r="BK9">
        <v>2</v>
      </c>
      <c r="BL9">
        <v>17</v>
      </c>
      <c r="BM9">
        <v>1</v>
      </c>
      <c r="BN9">
        <v>49</v>
      </c>
      <c r="BO9">
        <v>141</v>
      </c>
      <c r="BP9">
        <v>115</v>
      </c>
      <c r="BQ9">
        <v>3</v>
      </c>
      <c r="BR9">
        <v>12</v>
      </c>
      <c r="BS9">
        <v>4</v>
      </c>
      <c r="BT9">
        <v>0</v>
      </c>
      <c r="BU9">
        <v>0</v>
      </c>
      <c r="BV9">
        <v>2</v>
      </c>
      <c r="BW9">
        <v>1</v>
      </c>
      <c r="BX9">
        <v>1</v>
      </c>
      <c r="BY9">
        <v>3</v>
      </c>
      <c r="BZ9">
        <v>141</v>
      </c>
      <c r="CA9">
        <v>6</v>
      </c>
      <c r="CB9">
        <v>4</v>
      </c>
      <c r="CC9">
        <v>1</v>
      </c>
      <c r="CD9">
        <v>0</v>
      </c>
      <c r="CE9">
        <v>0</v>
      </c>
      <c r="CF9">
        <v>0</v>
      </c>
      <c r="CG9">
        <v>0</v>
      </c>
      <c r="CH9">
        <v>0</v>
      </c>
      <c r="CI9">
        <v>1</v>
      </c>
      <c r="CJ9">
        <v>0</v>
      </c>
      <c r="CK9">
        <v>0</v>
      </c>
      <c r="CL9">
        <v>6</v>
      </c>
      <c r="CM9">
        <v>5</v>
      </c>
      <c r="CN9">
        <v>3</v>
      </c>
      <c r="CO9">
        <v>0</v>
      </c>
      <c r="CP9">
        <v>0</v>
      </c>
      <c r="CQ9">
        <v>1</v>
      </c>
      <c r="CR9">
        <v>0</v>
      </c>
      <c r="CS9">
        <v>0</v>
      </c>
      <c r="CT9">
        <v>1</v>
      </c>
      <c r="CU9">
        <v>0</v>
      </c>
      <c r="CV9">
        <v>0</v>
      </c>
      <c r="CW9">
        <v>0</v>
      </c>
      <c r="CX9">
        <v>5</v>
      </c>
      <c r="CY9">
        <v>25</v>
      </c>
      <c r="CZ9">
        <v>20</v>
      </c>
      <c r="DA9">
        <v>1</v>
      </c>
      <c r="DB9">
        <v>1</v>
      </c>
      <c r="DC9">
        <v>0</v>
      </c>
      <c r="DD9">
        <v>0</v>
      </c>
      <c r="DE9">
        <v>0</v>
      </c>
      <c r="DF9">
        <v>1</v>
      </c>
      <c r="DG9">
        <v>0</v>
      </c>
      <c r="DH9">
        <v>1</v>
      </c>
      <c r="DI9">
        <v>1</v>
      </c>
      <c r="DJ9">
        <v>25</v>
      </c>
      <c r="DK9">
        <v>155</v>
      </c>
      <c r="DL9">
        <v>116</v>
      </c>
      <c r="DM9">
        <v>22</v>
      </c>
      <c r="DN9">
        <v>3</v>
      </c>
      <c r="DO9">
        <v>1</v>
      </c>
      <c r="DP9">
        <v>3</v>
      </c>
      <c r="DQ9">
        <v>2</v>
      </c>
      <c r="DR9">
        <v>1</v>
      </c>
      <c r="DS9">
        <v>2</v>
      </c>
      <c r="DT9">
        <v>0</v>
      </c>
      <c r="DU9">
        <v>5</v>
      </c>
      <c r="DV9">
        <v>155</v>
      </c>
      <c r="DW9">
        <v>6</v>
      </c>
      <c r="DX9">
        <v>2</v>
      </c>
      <c r="DY9">
        <v>0</v>
      </c>
      <c r="DZ9">
        <v>0</v>
      </c>
      <c r="EA9">
        <v>3</v>
      </c>
      <c r="EB9">
        <v>0</v>
      </c>
      <c r="EC9">
        <v>0</v>
      </c>
      <c r="ED9">
        <v>0</v>
      </c>
      <c r="EE9">
        <v>0</v>
      </c>
      <c r="EF9">
        <v>1</v>
      </c>
      <c r="EG9">
        <v>0</v>
      </c>
      <c r="EH9">
        <v>6</v>
      </c>
      <c r="EI9">
        <v>2</v>
      </c>
      <c r="EJ9">
        <v>0</v>
      </c>
      <c r="EK9">
        <v>1</v>
      </c>
      <c r="EL9">
        <v>0</v>
      </c>
      <c r="EM9">
        <v>0</v>
      </c>
      <c r="EN9">
        <v>0</v>
      </c>
      <c r="EO9">
        <v>0</v>
      </c>
      <c r="EP9">
        <v>1</v>
      </c>
      <c r="EQ9">
        <v>0</v>
      </c>
      <c r="ER9">
        <v>2</v>
      </c>
      <c r="ES9">
        <v>1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1</v>
      </c>
      <c r="FB9">
        <v>0</v>
      </c>
      <c r="FC9">
        <v>0</v>
      </c>
      <c r="FD9">
        <v>1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</row>
    <row r="10" spans="1:172" ht="14.25">
      <c r="A10">
        <v>5</v>
      </c>
      <c r="B10" t="str">
        <f t="shared" si="0"/>
        <v>100201</v>
      </c>
      <c r="C10" t="str">
        <f t="shared" si="1"/>
        <v>m. Kutno</v>
      </c>
      <c r="D10" t="str">
        <f t="shared" si="2"/>
        <v>kutnowski</v>
      </c>
      <c r="E10" t="str">
        <f t="shared" si="3"/>
        <v>łódzkie</v>
      </c>
      <c r="F10">
        <v>5</v>
      </c>
      <c r="G10" t="str">
        <f>"I Liceum Ogólnokształcące im. Gen. J.H.Dąbrowskiego, ul. Gen. Dąbrowskiego 1, 99-300 Kutno"</f>
        <v>I Liceum Ogólnokształcące im. Gen. J.H.Dąbrowskiego, ul. Gen. Dąbrowskiego 1, 99-300 Kutno</v>
      </c>
      <c r="H10">
        <v>1644</v>
      </c>
      <c r="I10">
        <v>1644</v>
      </c>
      <c r="J10">
        <v>0</v>
      </c>
      <c r="K10">
        <v>1160</v>
      </c>
      <c r="L10">
        <v>802</v>
      </c>
      <c r="M10">
        <v>358</v>
      </c>
      <c r="N10">
        <v>358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358</v>
      </c>
      <c r="Z10">
        <v>0</v>
      </c>
      <c r="AA10">
        <v>0</v>
      </c>
      <c r="AB10">
        <v>358</v>
      </c>
      <c r="AC10">
        <v>12</v>
      </c>
      <c r="AD10">
        <v>346</v>
      </c>
      <c r="AE10">
        <v>18</v>
      </c>
      <c r="AF10">
        <v>18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18</v>
      </c>
      <c r="AQ10">
        <v>2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1</v>
      </c>
      <c r="BA10">
        <v>0</v>
      </c>
      <c r="BB10">
        <v>2</v>
      </c>
      <c r="BC10">
        <v>31</v>
      </c>
      <c r="BD10">
        <v>17</v>
      </c>
      <c r="BE10">
        <v>7</v>
      </c>
      <c r="BF10">
        <v>2</v>
      </c>
      <c r="BG10">
        <v>0</v>
      </c>
      <c r="BH10">
        <v>1</v>
      </c>
      <c r="BI10">
        <v>1</v>
      </c>
      <c r="BJ10">
        <v>0</v>
      </c>
      <c r="BK10">
        <v>0</v>
      </c>
      <c r="BL10">
        <v>3</v>
      </c>
      <c r="BM10">
        <v>0</v>
      </c>
      <c r="BN10">
        <v>31</v>
      </c>
      <c r="BO10">
        <v>114</v>
      </c>
      <c r="BP10">
        <v>95</v>
      </c>
      <c r="BQ10">
        <v>3</v>
      </c>
      <c r="BR10">
        <v>7</v>
      </c>
      <c r="BS10">
        <v>4</v>
      </c>
      <c r="BT10">
        <v>1</v>
      </c>
      <c r="BU10">
        <v>2</v>
      </c>
      <c r="BV10">
        <v>0</v>
      </c>
      <c r="BW10">
        <v>0</v>
      </c>
      <c r="BX10">
        <v>0</v>
      </c>
      <c r="BY10">
        <v>2</v>
      </c>
      <c r="BZ10">
        <v>114</v>
      </c>
      <c r="CA10">
        <v>3</v>
      </c>
      <c r="CB10">
        <v>1</v>
      </c>
      <c r="CC10">
        <v>0</v>
      </c>
      <c r="CD10">
        <v>1</v>
      </c>
      <c r="CE10">
        <v>0</v>
      </c>
      <c r="CF10">
        <v>0</v>
      </c>
      <c r="CG10">
        <v>1</v>
      </c>
      <c r="CH10">
        <v>0</v>
      </c>
      <c r="CI10">
        <v>0</v>
      </c>
      <c r="CJ10">
        <v>0</v>
      </c>
      <c r="CK10">
        <v>0</v>
      </c>
      <c r="CL10">
        <v>3</v>
      </c>
      <c r="CM10">
        <v>19</v>
      </c>
      <c r="CN10">
        <v>13</v>
      </c>
      <c r="CO10">
        <v>3</v>
      </c>
      <c r="CP10">
        <v>2</v>
      </c>
      <c r="CQ10">
        <v>1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19</v>
      </c>
      <c r="CY10">
        <v>25</v>
      </c>
      <c r="CZ10">
        <v>10</v>
      </c>
      <c r="DA10">
        <v>8</v>
      </c>
      <c r="DB10">
        <v>0</v>
      </c>
      <c r="DC10">
        <v>0</v>
      </c>
      <c r="DD10">
        <v>1</v>
      </c>
      <c r="DE10">
        <v>1</v>
      </c>
      <c r="DF10">
        <v>0</v>
      </c>
      <c r="DG10">
        <v>2</v>
      </c>
      <c r="DH10">
        <v>2</v>
      </c>
      <c r="DI10">
        <v>1</v>
      </c>
      <c r="DJ10">
        <v>25</v>
      </c>
      <c r="DK10">
        <v>124</v>
      </c>
      <c r="DL10">
        <v>90</v>
      </c>
      <c r="DM10">
        <v>18</v>
      </c>
      <c r="DN10">
        <v>1</v>
      </c>
      <c r="DO10">
        <v>2</v>
      </c>
      <c r="DP10">
        <v>2</v>
      </c>
      <c r="DQ10">
        <v>1</v>
      </c>
      <c r="DR10">
        <v>1</v>
      </c>
      <c r="DS10">
        <v>1</v>
      </c>
      <c r="DT10">
        <v>5</v>
      </c>
      <c r="DU10">
        <v>3</v>
      </c>
      <c r="DV10">
        <v>124</v>
      </c>
      <c r="DW10">
        <v>8</v>
      </c>
      <c r="DX10">
        <v>2</v>
      </c>
      <c r="DY10">
        <v>0</v>
      </c>
      <c r="DZ10">
        <v>0</v>
      </c>
      <c r="EA10">
        <v>2</v>
      </c>
      <c r="EB10">
        <v>0</v>
      </c>
      <c r="EC10">
        <v>0</v>
      </c>
      <c r="ED10">
        <v>0</v>
      </c>
      <c r="EE10">
        <v>0</v>
      </c>
      <c r="EF10">
        <v>1</v>
      </c>
      <c r="EG10">
        <v>3</v>
      </c>
      <c r="EH10">
        <v>8</v>
      </c>
      <c r="EI10">
        <v>1</v>
      </c>
      <c r="EJ10">
        <v>0</v>
      </c>
      <c r="EK10">
        <v>0</v>
      </c>
      <c r="EL10">
        <v>1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</v>
      </c>
      <c r="ES10">
        <v>1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1</v>
      </c>
      <c r="FD10">
        <v>1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</row>
    <row r="11" spans="1:172" ht="14.25">
      <c r="A11">
        <v>6</v>
      </c>
      <c r="B11" t="str">
        <f t="shared" si="0"/>
        <v>100201</v>
      </c>
      <c r="C11" t="str">
        <f t="shared" si="1"/>
        <v>m. Kutno</v>
      </c>
      <c r="D11" t="str">
        <f t="shared" si="2"/>
        <v>kutnowski</v>
      </c>
      <c r="E11" t="str">
        <f t="shared" si="3"/>
        <v>łódzkie</v>
      </c>
      <c r="F11">
        <v>6</v>
      </c>
      <c r="G11" t="str">
        <f>"Gimnazjum Nr 2 im. Marszałka Józefa Piłsudskiego, ul. Staszica 6, 99-300 Kutno"</f>
        <v>Gimnazjum Nr 2 im. Marszałka Józefa Piłsudskiego, ul. Staszica 6, 99-300 Kutno</v>
      </c>
      <c r="H11">
        <v>1713</v>
      </c>
      <c r="I11">
        <v>1713</v>
      </c>
      <c r="J11">
        <v>0</v>
      </c>
      <c r="K11">
        <v>1210</v>
      </c>
      <c r="L11">
        <v>840</v>
      </c>
      <c r="M11">
        <v>370</v>
      </c>
      <c r="N11">
        <v>370</v>
      </c>
      <c r="O11">
        <v>0</v>
      </c>
      <c r="P11">
        <v>0</v>
      </c>
      <c r="Q11">
        <v>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370</v>
      </c>
      <c r="Z11">
        <v>0</v>
      </c>
      <c r="AA11">
        <v>0</v>
      </c>
      <c r="AB11">
        <v>370</v>
      </c>
      <c r="AC11">
        <v>5</v>
      </c>
      <c r="AD11">
        <v>365</v>
      </c>
      <c r="AE11">
        <v>27</v>
      </c>
      <c r="AF11">
        <v>27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27</v>
      </c>
      <c r="AQ11">
        <v>6</v>
      </c>
      <c r="AR11">
        <v>3</v>
      </c>
      <c r="AS11">
        <v>1</v>
      </c>
      <c r="AT11">
        <v>0</v>
      </c>
      <c r="AU11">
        <v>0</v>
      </c>
      <c r="AV11">
        <v>0</v>
      </c>
      <c r="AW11">
        <v>2</v>
      </c>
      <c r="AX11">
        <v>0</v>
      </c>
      <c r="AY11">
        <v>0</v>
      </c>
      <c r="AZ11">
        <v>0</v>
      </c>
      <c r="BA11">
        <v>0</v>
      </c>
      <c r="BB11">
        <v>6</v>
      </c>
      <c r="BC11">
        <v>20</v>
      </c>
      <c r="BD11">
        <v>3</v>
      </c>
      <c r="BE11">
        <v>3</v>
      </c>
      <c r="BF11">
        <v>0</v>
      </c>
      <c r="BG11">
        <v>1</v>
      </c>
      <c r="BH11">
        <v>0</v>
      </c>
      <c r="BI11">
        <v>2</v>
      </c>
      <c r="BJ11">
        <v>0</v>
      </c>
      <c r="BK11">
        <v>5</v>
      </c>
      <c r="BL11">
        <v>5</v>
      </c>
      <c r="BM11">
        <v>1</v>
      </c>
      <c r="BN11">
        <v>20</v>
      </c>
      <c r="BO11">
        <v>141</v>
      </c>
      <c r="BP11">
        <v>122</v>
      </c>
      <c r="BQ11">
        <v>4</v>
      </c>
      <c r="BR11">
        <v>6</v>
      </c>
      <c r="BS11">
        <v>5</v>
      </c>
      <c r="BT11">
        <v>2</v>
      </c>
      <c r="BU11">
        <v>0</v>
      </c>
      <c r="BV11">
        <v>0</v>
      </c>
      <c r="BW11">
        <v>0</v>
      </c>
      <c r="BX11">
        <v>0</v>
      </c>
      <c r="BY11">
        <v>2</v>
      </c>
      <c r="BZ11">
        <v>141</v>
      </c>
      <c r="CA11">
        <v>4</v>
      </c>
      <c r="CB11">
        <v>1</v>
      </c>
      <c r="CC11">
        <v>2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1</v>
      </c>
      <c r="CK11">
        <v>0</v>
      </c>
      <c r="CL11">
        <v>4</v>
      </c>
      <c r="CM11">
        <v>5</v>
      </c>
      <c r="CN11">
        <v>4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5</v>
      </c>
      <c r="CY11">
        <v>21</v>
      </c>
      <c r="CZ11">
        <v>17</v>
      </c>
      <c r="DA11">
        <v>1</v>
      </c>
      <c r="DB11">
        <v>0</v>
      </c>
      <c r="DC11">
        <v>0</v>
      </c>
      <c r="DD11">
        <v>0</v>
      </c>
      <c r="DE11">
        <v>1</v>
      </c>
      <c r="DF11">
        <v>0</v>
      </c>
      <c r="DG11">
        <v>2</v>
      </c>
      <c r="DH11">
        <v>0</v>
      </c>
      <c r="DI11">
        <v>0</v>
      </c>
      <c r="DJ11">
        <v>21</v>
      </c>
      <c r="DK11">
        <v>131</v>
      </c>
      <c r="DL11">
        <v>105</v>
      </c>
      <c r="DM11">
        <v>16</v>
      </c>
      <c r="DN11">
        <v>1</v>
      </c>
      <c r="DO11">
        <v>0</v>
      </c>
      <c r="DP11">
        <v>3</v>
      </c>
      <c r="DQ11">
        <v>1</v>
      </c>
      <c r="DR11">
        <v>0</v>
      </c>
      <c r="DS11">
        <v>2</v>
      </c>
      <c r="DT11">
        <v>1</v>
      </c>
      <c r="DU11">
        <v>2</v>
      </c>
      <c r="DV11">
        <v>131</v>
      </c>
      <c r="DW11">
        <v>7</v>
      </c>
      <c r="DX11">
        <v>2</v>
      </c>
      <c r="DY11">
        <v>0</v>
      </c>
      <c r="DZ11">
        <v>0</v>
      </c>
      <c r="EA11">
        <v>1</v>
      </c>
      <c r="EB11">
        <v>0</v>
      </c>
      <c r="EC11">
        <v>0</v>
      </c>
      <c r="ED11">
        <v>0</v>
      </c>
      <c r="EE11">
        <v>1</v>
      </c>
      <c r="EF11">
        <v>2</v>
      </c>
      <c r="EG11">
        <v>1</v>
      </c>
      <c r="EH11">
        <v>7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3</v>
      </c>
      <c r="FF11">
        <v>2</v>
      </c>
      <c r="FG11">
        <v>0</v>
      </c>
      <c r="FH11">
        <v>1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3</v>
      </c>
    </row>
    <row r="12" spans="1:172" ht="14.25">
      <c r="A12">
        <v>7</v>
      </c>
      <c r="B12" t="str">
        <f t="shared" si="0"/>
        <v>100201</v>
      </c>
      <c r="C12" t="str">
        <f t="shared" si="1"/>
        <v>m. Kutno</v>
      </c>
      <c r="D12" t="str">
        <f t="shared" si="2"/>
        <v>kutnowski</v>
      </c>
      <c r="E12" t="str">
        <f t="shared" si="3"/>
        <v>łódzkie</v>
      </c>
      <c r="F12">
        <v>7</v>
      </c>
      <c r="G12" t="s">
        <v>37</v>
      </c>
      <c r="H12">
        <v>1806</v>
      </c>
      <c r="I12">
        <v>1806</v>
      </c>
      <c r="J12">
        <v>0</v>
      </c>
      <c r="K12">
        <v>1270</v>
      </c>
      <c r="L12">
        <v>809</v>
      </c>
      <c r="M12">
        <v>461</v>
      </c>
      <c r="N12">
        <v>461</v>
      </c>
      <c r="O12">
        <v>0</v>
      </c>
      <c r="P12">
        <v>0</v>
      </c>
      <c r="Q12">
        <v>5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461</v>
      </c>
      <c r="Z12">
        <v>0</v>
      </c>
      <c r="AA12">
        <v>0</v>
      </c>
      <c r="AB12">
        <v>461</v>
      </c>
      <c r="AC12">
        <v>21</v>
      </c>
      <c r="AD12">
        <v>440</v>
      </c>
      <c r="AE12">
        <v>30</v>
      </c>
      <c r="AF12">
        <v>27</v>
      </c>
      <c r="AG12">
        <v>1</v>
      </c>
      <c r="AH12">
        <v>0</v>
      </c>
      <c r="AI12">
        <v>1</v>
      </c>
      <c r="AJ12">
        <v>0</v>
      </c>
      <c r="AK12">
        <v>0</v>
      </c>
      <c r="AL12">
        <v>1</v>
      </c>
      <c r="AM12">
        <v>0</v>
      </c>
      <c r="AN12">
        <v>0</v>
      </c>
      <c r="AO12">
        <v>0</v>
      </c>
      <c r="AP12">
        <v>30</v>
      </c>
      <c r="AQ12">
        <v>8</v>
      </c>
      <c r="AR12">
        <v>6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2</v>
      </c>
      <c r="AY12">
        <v>0</v>
      </c>
      <c r="AZ12">
        <v>0</v>
      </c>
      <c r="BA12">
        <v>0</v>
      </c>
      <c r="BB12">
        <v>8</v>
      </c>
      <c r="BC12">
        <v>37</v>
      </c>
      <c r="BD12">
        <v>20</v>
      </c>
      <c r="BE12">
        <v>3</v>
      </c>
      <c r="BF12">
        <v>1</v>
      </c>
      <c r="BG12">
        <v>1</v>
      </c>
      <c r="BH12">
        <v>0</v>
      </c>
      <c r="BI12">
        <v>1</v>
      </c>
      <c r="BJ12">
        <v>0</v>
      </c>
      <c r="BK12">
        <v>0</v>
      </c>
      <c r="BL12">
        <v>10</v>
      </c>
      <c r="BM12">
        <v>1</v>
      </c>
      <c r="BN12">
        <v>37</v>
      </c>
      <c r="BO12">
        <v>170</v>
      </c>
      <c r="BP12">
        <v>147</v>
      </c>
      <c r="BQ12">
        <v>7</v>
      </c>
      <c r="BR12">
        <v>5</v>
      </c>
      <c r="BS12">
        <v>3</v>
      </c>
      <c r="BT12">
        <v>0</v>
      </c>
      <c r="BU12">
        <v>0</v>
      </c>
      <c r="BV12">
        <v>2</v>
      </c>
      <c r="BW12">
        <v>0</v>
      </c>
      <c r="BX12">
        <v>0</v>
      </c>
      <c r="BY12">
        <v>6</v>
      </c>
      <c r="BZ12">
        <v>170</v>
      </c>
      <c r="CA12">
        <v>11</v>
      </c>
      <c r="CB12">
        <v>6</v>
      </c>
      <c r="CC12">
        <v>2</v>
      </c>
      <c r="CD12">
        <v>2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1</v>
      </c>
      <c r="CL12">
        <v>11</v>
      </c>
      <c r="CM12">
        <v>10</v>
      </c>
      <c r="CN12">
        <v>5</v>
      </c>
      <c r="CO12">
        <v>1</v>
      </c>
      <c r="CP12">
        <v>2</v>
      </c>
      <c r="CQ12">
        <v>2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10</v>
      </c>
      <c r="CY12">
        <v>19</v>
      </c>
      <c r="CZ12">
        <v>12</v>
      </c>
      <c r="DA12">
        <v>3</v>
      </c>
      <c r="DB12">
        <v>0</v>
      </c>
      <c r="DC12">
        <v>1</v>
      </c>
      <c r="DD12">
        <v>0</v>
      </c>
      <c r="DE12">
        <v>0</v>
      </c>
      <c r="DF12">
        <v>1</v>
      </c>
      <c r="DG12">
        <v>0</v>
      </c>
      <c r="DH12">
        <v>0</v>
      </c>
      <c r="DI12">
        <v>2</v>
      </c>
      <c r="DJ12">
        <v>19</v>
      </c>
      <c r="DK12">
        <v>123</v>
      </c>
      <c r="DL12">
        <v>97</v>
      </c>
      <c r="DM12">
        <v>13</v>
      </c>
      <c r="DN12">
        <v>1</v>
      </c>
      <c r="DO12">
        <v>0</v>
      </c>
      <c r="DP12">
        <v>6</v>
      </c>
      <c r="DQ12">
        <v>0</v>
      </c>
      <c r="DR12">
        <v>2</v>
      </c>
      <c r="DS12">
        <v>0</v>
      </c>
      <c r="DT12">
        <v>2</v>
      </c>
      <c r="DU12">
        <v>2</v>
      </c>
      <c r="DV12">
        <v>123</v>
      </c>
      <c r="DW12">
        <v>25</v>
      </c>
      <c r="DX12">
        <v>4</v>
      </c>
      <c r="DY12">
        <v>4</v>
      </c>
      <c r="DZ12">
        <v>0</v>
      </c>
      <c r="EA12">
        <v>9</v>
      </c>
      <c r="EB12">
        <v>0</v>
      </c>
      <c r="EC12">
        <v>3</v>
      </c>
      <c r="ED12">
        <v>2</v>
      </c>
      <c r="EE12">
        <v>1</v>
      </c>
      <c r="EF12">
        <v>2</v>
      </c>
      <c r="EG12">
        <v>0</v>
      </c>
      <c r="EH12">
        <v>25</v>
      </c>
      <c r="EI12">
        <v>2</v>
      </c>
      <c r="EJ12">
        <v>0</v>
      </c>
      <c r="EK12">
        <v>2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2</v>
      </c>
      <c r="ES12">
        <v>1</v>
      </c>
      <c r="ET12">
        <v>0</v>
      </c>
      <c r="EU12">
        <v>0</v>
      </c>
      <c r="EV12">
        <v>0</v>
      </c>
      <c r="EW12">
        <v>1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1</v>
      </c>
      <c r="FE12">
        <v>4</v>
      </c>
      <c r="FF12">
        <v>1</v>
      </c>
      <c r="FG12">
        <v>1</v>
      </c>
      <c r="FH12">
        <v>0</v>
      </c>
      <c r="FI12">
        <v>0</v>
      </c>
      <c r="FJ12">
        <v>1</v>
      </c>
      <c r="FK12">
        <v>0</v>
      </c>
      <c r="FL12">
        <v>0</v>
      </c>
      <c r="FM12">
        <v>0</v>
      </c>
      <c r="FN12">
        <v>1</v>
      </c>
      <c r="FO12">
        <v>0</v>
      </c>
      <c r="FP12">
        <v>4</v>
      </c>
    </row>
    <row r="13" spans="1:172" ht="14.25">
      <c r="A13">
        <v>8</v>
      </c>
      <c r="B13" t="str">
        <f t="shared" si="0"/>
        <v>100201</v>
      </c>
      <c r="C13" t="str">
        <f t="shared" si="1"/>
        <v>m. Kutno</v>
      </c>
      <c r="D13" t="str">
        <f t="shared" si="2"/>
        <v>kutnowski</v>
      </c>
      <c r="E13" t="str">
        <f t="shared" si="3"/>
        <v>łódzkie</v>
      </c>
      <c r="F13">
        <v>8</v>
      </c>
      <c r="G13" t="s">
        <v>37</v>
      </c>
      <c r="H13">
        <v>1980</v>
      </c>
      <c r="I13">
        <v>1980</v>
      </c>
      <c r="J13">
        <v>0</v>
      </c>
      <c r="K13">
        <v>1400</v>
      </c>
      <c r="L13">
        <v>1048</v>
      </c>
      <c r="M13">
        <v>352</v>
      </c>
      <c r="N13">
        <v>352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352</v>
      </c>
      <c r="Z13">
        <v>0</v>
      </c>
      <c r="AA13">
        <v>0</v>
      </c>
      <c r="AB13">
        <v>352</v>
      </c>
      <c r="AC13">
        <v>12</v>
      </c>
      <c r="AD13">
        <v>340</v>
      </c>
      <c r="AE13">
        <v>28</v>
      </c>
      <c r="AF13">
        <v>28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28</v>
      </c>
      <c r="AQ13">
        <v>2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1</v>
      </c>
      <c r="AY13">
        <v>0</v>
      </c>
      <c r="AZ13">
        <v>0</v>
      </c>
      <c r="BA13">
        <v>0</v>
      </c>
      <c r="BB13">
        <v>2</v>
      </c>
      <c r="BC13">
        <v>24</v>
      </c>
      <c r="BD13">
        <v>10</v>
      </c>
      <c r="BE13">
        <v>1</v>
      </c>
      <c r="BF13">
        <v>1</v>
      </c>
      <c r="BG13">
        <v>0</v>
      </c>
      <c r="BH13">
        <v>0</v>
      </c>
      <c r="BI13">
        <v>1</v>
      </c>
      <c r="BJ13">
        <v>0</v>
      </c>
      <c r="BK13">
        <v>2</v>
      </c>
      <c r="BL13">
        <v>7</v>
      </c>
      <c r="BM13">
        <v>2</v>
      </c>
      <c r="BN13">
        <v>24</v>
      </c>
      <c r="BO13">
        <v>121</v>
      </c>
      <c r="BP13">
        <v>104</v>
      </c>
      <c r="BQ13">
        <v>6</v>
      </c>
      <c r="BR13">
        <v>5</v>
      </c>
      <c r="BS13">
        <v>1</v>
      </c>
      <c r="BT13">
        <v>0</v>
      </c>
      <c r="BU13">
        <v>0</v>
      </c>
      <c r="BV13">
        <v>0</v>
      </c>
      <c r="BW13">
        <v>1</v>
      </c>
      <c r="BX13">
        <v>1</v>
      </c>
      <c r="BY13">
        <v>3</v>
      </c>
      <c r="BZ13">
        <v>121</v>
      </c>
      <c r="CA13">
        <v>2</v>
      </c>
      <c r="CB13">
        <v>1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1</v>
      </c>
      <c r="CK13">
        <v>0</v>
      </c>
      <c r="CL13">
        <v>2</v>
      </c>
      <c r="CM13">
        <v>5</v>
      </c>
      <c r="CN13">
        <v>3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1</v>
      </c>
      <c r="CX13">
        <v>5</v>
      </c>
      <c r="CY13">
        <v>31</v>
      </c>
      <c r="CZ13">
        <v>20</v>
      </c>
      <c r="DA13">
        <v>2</v>
      </c>
      <c r="DB13">
        <v>0</v>
      </c>
      <c r="DC13">
        <v>0</v>
      </c>
      <c r="DD13">
        <v>2</v>
      </c>
      <c r="DE13">
        <v>0</v>
      </c>
      <c r="DF13">
        <v>0</v>
      </c>
      <c r="DG13">
        <v>2</v>
      </c>
      <c r="DH13">
        <v>4</v>
      </c>
      <c r="DI13">
        <v>1</v>
      </c>
      <c r="DJ13">
        <v>31</v>
      </c>
      <c r="DK13">
        <v>108</v>
      </c>
      <c r="DL13">
        <v>91</v>
      </c>
      <c r="DM13">
        <v>9</v>
      </c>
      <c r="DN13">
        <v>1</v>
      </c>
      <c r="DO13">
        <v>1</v>
      </c>
      <c r="DP13">
        <v>1</v>
      </c>
      <c r="DQ13">
        <v>0</v>
      </c>
      <c r="DR13">
        <v>2</v>
      </c>
      <c r="DS13">
        <v>2</v>
      </c>
      <c r="DT13">
        <v>1</v>
      </c>
      <c r="DU13">
        <v>0</v>
      </c>
      <c r="DV13">
        <v>108</v>
      </c>
      <c r="DW13">
        <v>12</v>
      </c>
      <c r="DX13">
        <v>0</v>
      </c>
      <c r="DY13">
        <v>1</v>
      </c>
      <c r="DZ13">
        <v>0</v>
      </c>
      <c r="EA13">
        <v>6</v>
      </c>
      <c r="EB13">
        <v>0</v>
      </c>
      <c r="EC13">
        <v>2</v>
      </c>
      <c r="ED13">
        <v>2</v>
      </c>
      <c r="EE13">
        <v>1</v>
      </c>
      <c r="EF13">
        <v>0</v>
      </c>
      <c r="EG13">
        <v>0</v>
      </c>
      <c r="EH13">
        <v>12</v>
      </c>
      <c r="EI13">
        <v>5</v>
      </c>
      <c r="EJ13">
        <v>0</v>
      </c>
      <c r="EK13">
        <v>2</v>
      </c>
      <c r="EL13">
        <v>3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5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2</v>
      </c>
      <c r="FF13">
        <v>0</v>
      </c>
      <c r="FG13">
        <v>0</v>
      </c>
      <c r="FH13">
        <v>0</v>
      </c>
      <c r="FI13">
        <v>1</v>
      </c>
      <c r="FJ13">
        <v>1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2</v>
      </c>
    </row>
    <row r="14" spans="1:172" ht="14.25">
      <c r="A14">
        <v>9</v>
      </c>
      <c r="B14" t="str">
        <f t="shared" si="0"/>
        <v>100201</v>
      </c>
      <c r="C14" t="str">
        <f t="shared" si="1"/>
        <v>m. Kutno</v>
      </c>
      <c r="D14" t="str">
        <f t="shared" si="2"/>
        <v>kutnowski</v>
      </c>
      <c r="E14" t="str">
        <f t="shared" si="3"/>
        <v>łódzkie</v>
      </c>
      <c r="F14">
        <v>9</v>
      </c>
      <c r="G14" t="str">
        <f>"Szkoła Podstawowa Nr 1 im. Tadeusza Kościuszki, ul. Kanclerza Andrzeja Zamoyskiego 1, 99-300 Kutno"</f>
        <v>Szkoła Podstawowa Nr 1 im. Tadeusza Kościuszki, ul. Kanclerza Andrzeja Zamoyskiego 1, 99-300 Kutno</v>
      </c>
      <c r="H14">
        <v>1767</v>
      </c>
      <c r="I14">
        <v>1767</v>
      </c>
      <c r="J14">
        <v>0</v>
      </c>
      <c r="K14">
        <v>1250</v>
      </c>
      <c r="L14">
        <v>881</v>
      </c>
      <c r="M14">
        <v>369</v>
      </c>
      <c r="N14">
        <v>369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369</v>
      </c>
      <c r="Z14">
        <v>0</v>
      </c>
      <c r="AA14">
        <v>0</v>
      </c>
      <c r="AB14">
        <v>369</v>
      </c>
      <c r="AC14">
        <v>13</v>
      </c>
      <c r="AD14">
        <v>356</v>
      </c>
      <c r="AE14">
        <v>11</v>
      </c>
      <c r="AF14">
        <v>9</v>
      </c>
      <c r="AG14">
        <v>0</v>
      </c>
      <c r="AH14">
        <v>0</v>
      </c>
      <c r="AI14">
        <v>0</v>
      </c>
      <c r="AJ14">
        <v>1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11</v>
      </c>
      <c r="AQ14">
        <v>12</v>
      </c>
      <c r="AR14">
        <v>6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2</v>
      </c>
      <c r="AY14">
        <v>3</v>
      </c>
      <c r="AZ14">
        <v>0</v>
      </c>
      <c r="BA14">
        <v>0</v>
      </c>
      <c r="BB14">
        <v>12</v>
      </c>
      <c r="BC14">
        <v>50</v>
      </c>
      <c r="BD14">
        <v>28</v>
      </c>
      <c r="BE14">
        <v>5</v>
      </c>
      <c r="BF14">
        <v>1</v>
      </c>
      <c r="BG14">
        <v>2</v>
      </c>
      <c r="BH14">
        <v>0</v>
      </c>
      <c r="BI14">
        <v>2</v>
      </c>
      <c r="BJ14">
        <v>0</v>
      </c>
      <c r="BK14">
        <v>2</v>
      </c>
      <c r="BL14">
        <v>5</v>
      </c>
      <c r="BM14">
        <v>5</v>
      </c>
      <c r="BN14">
        <v>50</v>
      </c>
      <c r="BO14">
        <v>121</v>
      </c>
      <c r="BP14">
        <v>103</v>
      </c>
      <c r="BQ14">
        <v>7</v>
      </c>
      <c r="BR14">
        <v>4</v>
      </c>
      <c r="BS14">
        <v>2</v>
      </c>
      <c r="BT14">
        <v>0</v>
      </c>
      <c r="BU14">
        <v>0</v>
      </c>
      <c r="BV14">
        <v>2</v>
      </c>
      <c r="BW14">
        <v>0</v>
      </c>
      <c r="BX14">
        <v>1</v>
      </c>
      <c r="BY14">
        <v>2</v>
      </c>
      <c r="BZ14">
        <v>121</v>
      </c>
      <c r="CA14">
        <v>11</v>
      </c>
      <c r="CB14">
        <v>6</v>
      </c>
      <c r="CC14">
        <v>1</v>
      </c>
      <c r="CD14">
        <v>2</v>
      </c>
      <c r="CE14">
        <v>0</v>
      </c>
      <c r="CF14">
        <v>0</v>
      </c>
      <c r="CG14">
        <v>0</v>
      </c>
      <c r="CH14">
        <v>1</v>
      </c>
      <c r="CI14">
        <v>0</v>
      </c>
      <c r="CJ14">
        <v>0</v>
      </c>
      <c r="CK14">
        <v>1</v>
      </c>
      <c r="CL14">
        <v>11</v>
      </c>
      <c r="CM14">
        <v>6</v>
      </c>
      <c r="CN14">
        <v>5</v>
      </c>
      <c r="CO14">
        <v>1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6</v>
      </c>
      <c r="CY14">
        <v>20</v>
      </c>
      <c r="CZ14">
        <v>9</v>
      </c>
      <c r="DA14">
        <v>7</v>
      </c>
      <c r="DB14">
        <v>1</v>
      </c>
      <c r="DC14">
        <v>1</v>
      </c>
      <c r="DD14">
        <v>0</v>
      </c>
      <c r="DE14">
        <v>0</v>
      </c>
      <c r="DF14">
        <v>1</v>
      </c>
      <c r="DG14">
        <v>0</v>
      </c>
      <c r="DH14">
        <v>0</v>
      </c>
      <c r="DI14">
        <v>1</v>
      </c>
      <c r="DJ14">
        <v>20</v>
      </c>
      <c r="DK14">
        <v>109</v>
      </c>
      <c r="DL14">
        <v>82</v>
      </c>
      <c r="DM14">
        <v>16</v>
      </c>
      <c r="DN14">
        <v>0</v>
      </c>
      <c r="DO14">
        <v>1</v>
      </c>
      <c r="DP14">
        <v>0</v>
      </c>
      <c r="DQ14">
        <v>0</v>
      </c>
      <c r="DR14">
        <v>2</v>
      </c>
      <c r="DS14">
        <v>3</v>
      </c>
      <c r="DT14">
        <v>1</v>
      </c>
      <c r="DU14">
        <v>4</v>
      </c>
      <c r="DV14">
        <v>109</v>
      </c>
      <c r="DW14">
        <v>9</v>
      </c>
      <c r="DX14">
        <v>3</v>
      </c>
      <c r="DY14">
        <v>0</v>
      </c>
      <c r="DZ14">
        <v>0</v>
      </c>
      <c r="EA14">
        <v>3</v>
      </c>
      <c r="EB14">
        <v>0</v>
      </c>
      <c r="EC14">
        <v>0</v>
      </c>
      <c r="ED14">
        <v>0</v>
      </c>
      <c r="EE14">
        <v>0</v>
      </c>
      <c r="EF14">
        <v>3</v>
      </c>
      <c r="EG14">
        <v>0</v>
      </c>
      <c r="EH14">
        <v>9</v>
      </c>
      <c r="EI14">
        <v>3</v>
      </c>
      <c r="EJ14">
        <v>0</v>
      </c>
      <c r="EK14">
        <v>3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3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4</v>
      </c>
      <c r="FF14">
        <v>0</v>
      </c>
      <c r="FG14">
        <v>1</v>
      </c>
      <c r="FH14">
        <v>1</v>
      </c>
      <c r="FI14">
        <v>0</v>
      </c>
      <c r="FJ14">
        <v>0</v>
      </c>
      <c r="FK14">
        <v>0</v>
      </c>
      <c r="FL14">
        <v>0</v>
      </c>
      <c r="FM14">
        <v>1</v>
      </c>
      <c r="FN14">
        <v>0</v>
      </c>
      <c r="FO14">
        <v>1</v>
      </c>
      <c r="FP14">
        <v>4</v>
      </c>
    </row>
    <row r="15" spans="1:172" ht="14.25">
      <c r="A15">
        <v>10</v>
      </c>
      <c r="B15" t="str">
        <f t="shared" si="0"/>
        <v>100201</v>
      </c>
      <c r="C15" t="str">
        <f t="shared" si="1"/>
        <v>m. Kutno</v>
      </c>
      <c r="D15" t="str">
        <f t="shared" si="2"/>
        <v>kutnowski</v>
      </c>
      <c r="E15" t="str">
        <f t="shared" si="3"/>
        <v>łódzkie</v>
      </c>
      <c r="F15">
        <v>10</v>
      </c>
      <c r="G15" t="str">
        <f>"Szkoła Podstawowa Nr 4 im. Mikołaja Kopernika, ul. Narutowicza 22, 99-300 Kutno"</f>
        <v>Szkoła Podstawowa Nr 4 im. Mikołaja Kopernika, ul. Narutowicza 22, 99-300 Kutno</v>
      </c>
      <c r="H15">
        <v>1888</v>
      </c>
      <c r="I15">
        <v>1888</v>
      </c>
      <c r="J15">
        <v>0</v>
      </c>
      <c r="K15">
        <v>1340</v>
      </c>
      <c r="L15">
        <v>1051</v>
      </c>
      <c r="M15">
        <v>289</v>
      </c>
      <c r="N15">
        <v>289</v>
      </c>
      <c r="O15">
        <v>0</v>
      </c>
      <c r="P15">
        <v>2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289</v>
      </c>
      <c r="Z15">
        <v>0</v>
      </c>
      <c r="AA15">
        <v>0</v>
      </c>
      <c r="AB15">
        <v>289</v>
      </c>
      <c r="AC15">
        <v>13</v>
      </c>
      <c r="AD15">
        <v>276</v>
      </c>
      <c r="AE15">
        <v>36</v>
      </c>
      <c r="AF15">
        <v>34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2</v>
      </c>
      <c r="AM15">
        <v>0</v>
      </c>
      <c r="AN15">
        <v>0</v>
      </c>
      <c r="AO15">
        <v>0</v>
      </c>
      <c r="AP15">
        <v>36</v>
      </c>
      <c r="AQ15">
        <v>7</v>
      </c>
      <c r="AR15">
        <v>4</v>
      </c>
      <c r="AS15">
        <v>0</v>
      </c>
      <c r="AT15">
        <v>0</v>
      </c>
      <c r="AU15">
        <v>0</v>
      </c>
      <c r="AV15">
        <v>2</v>
      </c>
      <c r="AW15">
        <v>0</v>
      </c>
      <c r="AX15">
        <v>0</v>
      </c>
      <c r="AY15">
        <v>0</v>
      </c>
      <c r="AZ15">
        <v>0</v>
      </c>
      <c r="BA15">
        <v>1</v>
      </c>
      <c r="BB15">
        <v>7</v>
      </c>
      <c r="BC15">
        <v>13</v>
      </c>
      <c r="BD15">
        <v>7</v>
      </c>
      <c r="BE15">
        <v>2</v>
      </c>
      <c r="BF15">
        <v>0</v>
      </c>
      <c r="BG15">
        <v>0</v>
      </c>
      <c r="BH15">
        <v>1</v>
      </c>
      <c r="BI15">
        <v>0</v>
      </c>
      <c r="BJ15">
        <v>2</v>
      </c>
      <c r="BK15">
        <v>0</v>
      </c>
      <c r="BL15">
        <v>1</v>
      </c>
      <c r="BM15">
        <v>0</v>
      </c>
      <c r="BN15">
        <v>13</v>
      </c>
      <c r="BO15">
        <v>112</v>
      </c>
      <c r="BP15">
        <v>100</v>
      </c>
      <c r="BQ15">
        <v>5</v>
      </c>
      <c r="BR15">
        <v>2</v>
      </c>
      <c r="BS15">
        <v>4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1</v>
      </c>
      <c r="BZ15">
        <v>112</v>
      </c>
      <c r="CA15">
        <v>8</v>
      </c>
      <c r="CB15">
        <v>6</v>
      </c>
      <c r="CC15">
        <v>1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1</v>
      </c>
      <c r="CL15">
        <v>8</v>
      </c>
      <c r="CM15">
        <v>4</v>
      </c>
      <c r="CN15">
        <v>2</v>
      </c>
      <c r="CO15">
        <v>0</v>
      </c>
      <c r="CP15">
        <v>0</v>
      </c>
      <c r="CQ15">
        <v>1</v>
      </c>
      <c r="CR15">
        <v>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4</v>
      </c>
      <c r="CY15">
        <v>18</v>
      </c>
      <c r="CZ15">
        <v>12</v>
      </c>
      <c r="DA15">
        <v>0</v>
      </c>
      <c r="DB15">
        <v>1</v>
      </c>
      <c r="DC15">
        <v>3</v>
      </c>
      <c r="DD15">
        <v>0</v>
      </c>
      <c r="DE15">
        <v>0</v>
      </c>
      <c r="DF15">
        <v>0</v>
      </c>
      <c r="DG15">
        <v>1</v>
      </c>
      <c r="DH15">
        <v>1</v>
      </c>
      <c r="DI15">
        <v>0</v>
      </c>
      <c r="DJ15">
        <v>18</v>
      </c>
      <c r="DK15">
        <v>71</v>
      </c>
      <c r="DL15">
        <v>58</v>
      </c>
      <c r="DM15">
        <v>10</v>
      </c>
      <c r="DN15">
        <v>0</v>
      </c>
      <c r="DO15">
        <v>1</v>
      </c>
      <c r="DP15">
        <v>1</v>
      </c>
      <c r="DQ15">
        <v>0</v>
      </c>
      <c r="DR15">
        <v>0</v>
      </c>
      <c r="DS15">
        <v>0</v>
      </c>
      <c r="DT15">
        <v>0</v>
      </c>
      <c r="DU15">
        <v>1</v>
      </c>
      <c r="DV15">
        <v>71</v>
      </c>
      <c r="DW15">
        <v>5</v>
      </c>
      <c r="DX15">
        <v>2</v>
      </c>
      <c r="DY15">
        <v>1</v>
      </c>
      <c r="DZ15">
        <v>0</v>
      </c>
      <c r="EA15">
        <v>0</v>
      </c>
      <c r="EB15">
        <v>0</v>
      </c>
      <c r="EC15">
        <v>1</v>
      </c>
      <c r="ED15">
        <v>0</v>
      </c>
      <c r="EE15">
        <v>1</v>
      </c>
      <c r="EF15">
        <v>0</v>
      </c>
      <c r="EG15">
        <v>0</v>
      </c>
      <c r="EH15">
        <v>5</v>
      </c>
      <c r="EI15">
        <v>1</v>
      </c>
      <c r="EJ15">
        <v>0</v>
      </c>
      <c r="EK15">
        <v>1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1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1</v>
      </c>
      <c r="FF15">
        <v>1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1</v>
      </c>
    </row>
    <row r="16" spans="1:172" ht="14.25">
      <c r="A16">
        <v>11</v>
      </c>
      <c r="B16" t="str">
        <f t="shared" si="0"/>
        <v>100201</v>
      </c>
      <c r="C16" t="str">
        <f t="shared" si="1"/>
        <v>m. Kutno</v>
      </c>
      <c r="D16" t="str">
        <f t="shared" si="2"/>
        <v>kutnowski</v>
      </c>
      <c r="E16" t="str">
        <f t="shared" si="3"/>
        <v>łódzkie</v>
      </c>
      <c r="F16">
        <v>11</v>
      </c>
      <c r="G16" t="str">
        <f>"Budynek H. Kołodziejczak, ul. Zimowa 10, 99-300 Kutno"</f>
        <v>Budynek H. Kołodziejczak, ul. Zimowa 10, 99-300 Kutno</v>
      </c>
      <c r="H16">
        <v>1774</v>
      </c>
      <c r="I16">
        <v>1774</v>
      </c>
      <c r="J16">
        <v>0</v>
      </c>
      <c r="K16">
        <v>1259</v>
      </c>
      <c r="L16">
        <v>895</v>
      </c>
      <c r="M16">
        <v>364</v>
      </c>
      <c r="N16">
        <v>364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364</v>
      </c>
      <c r="Z16">
        <v>0</v>
      </c>
      <c r="AA16">
        <v>0</v>
      </c>
      <c r="AB16">
        <v>364</v>
      </c>
      <c r="AC16">
        <v>8</v>
      </c>
      <c r="AD16">
        <v>356</v>
      </c>
      <c r="AE16">
        <v>30</v>
      </c>
      <c r="AF16">
        <v>29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</v>
      </c>
      <c r="AP16">
        <v>30</v>
      </c>
      <c r="AQ16">
        <v>4</v>
      </c>
      <c r="AR16">
        <v>1</v>
      </c>
      <c r="AS16">
        <v>0</v>
      </c>
      <c r="AT16">
        <v>0</v>
      </c>
      <c r="AU16">
        <v>1</v>
      </c>
      <c r="AV16">
        <v>0</v>
      </c>
      <c r="AW16">
        <v>0</v>
      </c>
      <c r="AX16">
        <v>1</v>
      </c>
      <c r="AY16">
        <v>0</v>
      </c>
      <c r="AZ16">
        <v>1</v>
      </c>
      <c r="BA16">
        <v>0</v>
      </c>
      <c r="BB16">
        <v>4</v>
      </c>
      <c r="BC16">
        <v>35</v>
      </c>
      <c r="BD16">
        <v>19</v>
      </c>
      <c r="BE16">
        <v>4</v>
      </c>
      <c r="BF16">
        <v>0</v>
      </c>
      <c r="BG16">
        <v>1</v>
      </c>
      <c r="BH16">
        <v>0</v>
      </c>
      <c r="BI16">
        <v>1</v>
      </c>
      <c r="BJ16">
        <v>1</v>
      </c>
      <c r="BK16">
        <v>0</v>
      </c>
      <c r="BL16">
        <v>7</v>
      </c>
      <c r="BM16">
        <v>2</v>
      </c>
      <c r="BN16">
        <v>35</v>
      </c>
      <c r="BO16">
        <v>163</v>
      </c>
      <c r="BP16">
        <v>142</v>
      </c>
      <c r="BQ16">
        <v>12</v>
      </c>
      <c r="BR16">
        <v>1</v>
      </c>
      <c r="BS16">
        <v>4</v>
      </c>
      <c r="BT16">
        <v>2</v>
      </c>
      <c r="BU16">
        <v>0</v>
      </c>
      <c r="BV16">
        <v>1</v>
      </c>
      <c r="BW16">
        <v>0</v>
      </c>
      <c r="BX16">
        <v>0</v>
      </c>
      <c r="BY16">
        <v>1</v>
      </c>
      <c r="BZ16">
        <v>163</v>
      </c>
      <c r="CA16">
        <v>2</v>
      </c>
      <c r="CB16">
        <v>0</v>
      </c>
      <c r="CC16">
        <v>0</v>
      </c>
      <c r="CD16">
        <v>0</v>
      </c>
      <c r="CE16">
        <v>0</v>
      </c>
      <c r="CF16">
        <v>1</v>
      </c>
      <c r="CG16">
        <v>0</v>
      </c>
      <c r="CH16">
        <v>0</v>
      </c>
      <c r="CI16">
        <v>0</v>
      </c>
      <c r="CJ16">
        <v>0</v>
      </c>
      <c r="CK16">
        <v>1</v>
      </c>
      <c r="CL16">
        <v>2</v>
      </c>
      <c r="CM16">
        <v>8</v>
      </c>
      <c r="CN16">
        <v>4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1</v>
      </c>
      <c r="CU16">
        <v>0</v>
      </c>
      <c r="CV16">
        <v>1</v>
      </c>
      <c r="CW16">
        <v>1</v>
      </c>
      <c r="CX16">
        <v>8</v>
      </c>
      <c r="CY16">
        <v>26</v>
      </c>
      <c r="CZ16">
        <v>15</v>
      </c>
      <c r="DA16">
        <v>3</v>
      </c>
      <c r="DB16">
        <v>1</v>
      </c>
      <c r="DC16">
        <v>1</v>
      </c>
      <c r="DD16">
        <v>0</v>
      </c>
      <c r="DE16">
        <v>1</v>
      </c>
      <c r="DF16">
        <v>0</v>
      </c>
      <c r="DG16">
        <v>4</v>
      </c>
      <c r="DH16">
        <v>0</v>
      </c>
      <c r="DI16">
        <v>1</v>
      </c>
      <c r="DJ16">
        <v>26</v>
      </c>
      <c r="DK16">
        <v>77</v>
      </c>
      <c r="DL16">
        <v>63</v>
      </c>
      <c r="DM16">
        <v>9</v>
      </c>
      <c r="DN16">
        <v>1</v>
      </c>
      <c r="DO16">
        <v>1</v>
      </c>
      <c r="DP16">
        <v>1</v>
      </c>
      <c r="DQ16">
        <v>0</v>
      </c>
      <c r="DR16">
        <v>1</v>
      </c>
      <c r="DS16">
        <v>0</v>
      </c>
      <c r="DT16">
        <v>1</v>
      </c>
      <c r="DU16">
        <v>0</v>
      </c>
      <c r="DV16">
        <v>77</v>
      </c>
      <c r="DW16">
        <v>4</v>
      </c>
      <c r="DX16">
        <v>1</v>
      </c>
      <c r="DY16">
        <v>1</v>
      </c>
      <c r="DZ16">
        <v>0</v>
      </c>
      <c r="EA16">
        <v>0</v>
      </c>
      <c r="EB16">
        <v>0</v>
      </c>
      <c r="EC16">
        <v>1</v>
      </c>
      <c r="ED16">
        <v>0</v>
      </c>
      <c r="EE16">
        <v>0</v>
      </c>
      <c r="EF16">
        <v>1</v>
      </c>
      <c r="EG16">
        <v>0</v>
      </c>
      <c r="EH16">
        <v>4</v>
      </c>
      <c r="EI16">
        <v>4</v>
      </c>
      <c r="EJ16">
        <v>1</v>
      </c>
      <c r="EK16">
        <v>2</v>
      </c>
      <c r="EL16">
        <v>0</v>
      </c>
      <c r="EM16">
        <v>1</v>
      </c>
      <c r="EN16">
        <v>0</v>
      </c>
      <c r="EO16">
        <v>0</v>
      </c>
      <c r="EP16">
        <v>0</v>
      </c>
      <c r="EQ16">
        <v>0</v>
      </c>
      <c r="ER16">
        <v>4</v>
      </c>
      <c r="ES16">
        <v>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1</v>
      </c>
      <c r="FC16">
        <v>0</v>
      </c>
      <c r="FD16">
        <v>1</v>
      </c>
      <c r="FE16">
        <v>2</v>
      </c>
      <c r="FF16">
        <v>0</v>
      </c>
      <c r="FG16">
        <v>0</v>
      </c>
      <c r="FH16">
        <v>0</v>
      </c>
      <c r="FI16">
        <v>1</v>
      </c>
      <c r="FJ16">
        <v>1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2</v>
      </c>
    </row>
    <row r="17" spans="1:172" ht="14.25">
      <c r="A17">
        <v>12</v>
      </c>
      <c r="B17" t="str">
        <f t="shared" si="0"/>
        <v>100201</v>
      </c>
      <c r="C17" t="str">
        <f t="shared" si="1"/>
        <v>m. Kutno</v>
      </c>
      <c r="D17" t="str">
        <f t="shared" si="2"/>
        <v>kutnowski</v>
      </c>
      <c r="E17" t="str">
        <f t="shared" si="3"/>
        <v>łódzkie</v>
      </c>
      <c r="F17">
        <v>12</v>
      </c>
      <c r="G17" t="str">
        <f>"Gimnazjum Nr 3 im. Henryka Sienkiewicza, ul.Łęczycka 11, 99-300 Kutno"</f>
        <v>Gimnazjum Nr 3 im. Henryka Sienkiewicza, ul.Łęczycka 11, 99-300 Kutno</v>
      </c>
      <c r="H17">
        <v>1860</v>
      </c>
      <c r="I17">
        <v>1860</v>
      </c>
      <c r="J17">
        <v>0</v>
      </c>
      <c r="K17">
        <v>1310</v>
      </c>
      <c r="L17">
        <v>889</v>
      </c>
      <c r="M17">
        <v>421</v>
      </c>
      <c r="N17">
        <v>421</v>
      </c>
      <c r="O17">
        <v>0</v>
      </c>
      <c r="P17">
        <v>0</v>
      </c>
      <c r="Q17">
        <v>3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421</v>
      </c>
      <c r="Z17">
        <v>0</v>
      </c>
      <c r="AA17">
        <v>0</v>
      </c>
      <c r="AB17">
        <v>421</v>
      </c>
      <c r="AC17">
        <v>12</v>
      </c>
      <c r="AD17">
        <v>409</v>
      </c>
      <c r="AE17">
        <v>35</v>
      </c>
      <c r="AF17">
        <v>35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35</v>
      </c>
      <c r="AQ17">
        <v>6</v>
      </c>
      <c r="AR17">
        <v>5</v>
      </c>
      <c r="AS17">
        <v>0</v>
      </c>
      <c r="AT17">
        <v>0</v>
      </c>
      <c r="AU17">
        <v>1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6</v>
      </c>
      <c r="BC17">
        <v>27</v>
      </c>
      <c r="BD17">
        <v>11</v>
      </c>
      <c r="BE17">
        <v>1</v>
      </c>
      <c r="BF17">
        <v>0</v>
      </c>
      <c r="BG17">
        <v>1</v>
      </c>
      <c r="BH17">
        <v>0</v>
      </c>
      <c r="BI17">
        <v>2</v>
      </c>
      <c r="BJ17">
        <v>1</v>
      </c>
      <c r="BK17">
        <v>0</v>
      </c>
      <c r="BL17">
        <v>9</v>
      </c>
      <c r="BM17">
        <v>2</v>
      </c>
      <c r="BN17">
        <v>27</v>
      </c>
      <c r="BO17">
        <v>160</v>
      </c>
      <c r="BP17">
        <v>135</v>
      </c>
      <c r="BQ17">
        <v>8</v>
      </c>
      <c r="BR17">
        <v>8</v>
      </c>
      <c r="BS17">
        <v>5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4</v>
      </c>
      <c r="BZ17">
        <v>160</v>
      </c>
      <c r="CA17">
        <v>14</v>
      </c>
      <c r="CB17">
        <v>6</v>
      </c>
      <c r="CC17">
        <v>5</v>
      </c>
      <c r="CD17">
        <v>0</v>
      </c>
      <c r="CE17">
        <v>0</v>
      </c>
      <c r="CF17">
        <v>0</v>
      </c>
      <c r="CG17">
        <v>2</v>
      </c>
      <c r="CH17">
        <v>0</v>
      </c>
      <c r="CI17">
        <v>0</v>
      </c>
      <c r="CJ17">
        <v>0</v>
      </c>
      <c r="CK17">
        <v>1</v>
      </c>
      <c r="CL17">
        <v>14</v>
      </c>
      <c r="CM17">
        <v>7</v>
      </c>
      <c r="CN17">
        <v>4</v>
      </c>
      <c r="CO17">
        <v>1</v>
      </c>
      <c r="CP17">
        <v>1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1</v>
      </c>
      <c r="CX17">
        <v>7</v>
      </c>
      <c r="CY17">
        <v>30</v>
      </c>
      <c r="CZ17">
        <v>22</v>
      </c>
      <c r="DA17">
        <v>3</v>
      </c>
      <c r="DB17">
        <v>1</v>
      </c>
      <c r="DC17">
        <v>0</v>
      </c>
      <c r="DD17">
        <v>2</v>
      </c>
      <c r="DE17">
        <v>0</v>
      </c>
      <c r="DF17">
        <v>0</v>
      </c>
      <c r="DG17">
        <v>0</v>
      </c>
      <c r="DH17">
        <v>1</v>
      </c>
      <c r="DI17">
        <v>1</v>
      </c>
      <c r="DJ17">
        <v>30</v>
      </c>
      <c r="DK17">
        <v>116</v>
      </c>
      <c r="DL17">
        <v>94</v>
      </c>
      <c r="DM17">
        <v>10</v>
      </c>
      <c r="DN17">
        <v>1</v>
      </c>
      <c r="DO17">
        <v>0</v>
      </c>
      <c r="DP17">
        <v>1</v>
      </c>
      <c r="DQ17">
        <v>1</v>
      </c>
      <c r="DR17">
        <v>1</v>
      </c>
      <c r="DS17">
        <v>2</v>
      </c>
      <c r="DT17">
        <v>1</v>
      </c>
      <c r="DU17">
        <v>5</v>
      </c>
      <c r="DV17">
        <v>116</v>
      </c>
      <c r="DW17">
        <v>12</v>
      </c>
      <c r="DX17">
        <v>3</v>
      </c>
      <c r="DY17">
        <v>0</v>
      </c>
      <c r="DZ17">
        <v>0</v>
      </c>
      <c r="EA17">
        <v>5</v>
      </c>
      <c r="EB17">
        <v>0</v>
      </c>
      <c r="EC17">
        <v>1</v>
      </c>
      <c r="ED17">
        <v>0</v>
      </c>
      <c r="EE17">
        <v>0</v>
      </c>
      <c r="EF17">
        <v>1</v>
      </c>
      <c r="EG17">
        <v>2</v>
      </c>
      <c r="EH17">
        <v>12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2</v>
      </c>
      <c r="FF17">
        <v>0</v>
      </c>
      <c r="FG17">
        <v>0</v>
      </c>
      <c r="FH17">
        <v>1</v>
      </c>
      <c r="FI17">
        <v>0</v>
      </c>
      <c r="FJ17">
        <v>0</v>
      </c>
      <c r="FK17">
        <v>0</v>
      </c>
      <c r="FL17">
        <v>0</v>
      </c>
      <c r="FM17">
        <v>1</v>
      </c>
      <c r="FN17">
        <v>0</v>
      </c>
      <c r="FO17">
        <v>0</v>
      </c>
      <c r="FP17">
        <v>2</v>
      </c>
    </row>
    <row r="18" spans="1:172" ht="14.25">
      <c r="A18">
        <v>13</v>
      </c>
      <c r="B18" t="str">
        <f t="shared" si="0"/>
        <v>100201</v>
      </c>
      <c r="C18" t="str">
        <f t="shared" si="1"/>
        <v>m. Kutno</v>
      </c>
      <c r="D18" t="str">
        <f t="shared" si="2"/>
        <v>kutnowski</v>
      </c>
      <c r="E18" t="str">
        <f t="shared" si="3"/>
        <v>łódzkie</v>
      </c>
      <c r="F18">
        <v>13</v>
      </c>
      <c r="G18" t="s">
        <v>38</v>
      </c>
      <c r="H18">
        <v>1976</v>
      </c>
      <c r="I18">
        <v>1975</v>
      </c>
      <c r="J18">
        <v>1</v>
      </c>
      <c r="K18">
        <v>1390</v>
      </c>
      <c r="L18">
        <v>1048</v>
      </c>
      <c r="M18">
        <v>342</v>
      </c>
      <c r="N18">
        <v>342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342</v>
      </c>
      <c r="Z18">
        <v>0</v>
      </c>
      <c r="AA18">
        <v>0</v>
      </c>
      <c r="AB18">
        <v>342</v>
      </c>
      <c r="AC18">
        <v>10</v>
      </c>
      <c r="AD18">
        <v>332</v>
      </c>
      <c r="AE18">
        <v>36</v>
      </c>
      <c r="AF18">
        <v>32</v>
      </c>
      <c r="AG18">
        <v>2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36</v>
      </c>
      <c r="AQ18">
        <v>3</v>
      </c>
      <c r="AR18">
        <v>3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3</v>
      </c>
      <c r="BC18">
        <v>43</v>
      </c>
      <c r="BD18">
        <v>15</v>
      </c>
      <c r="BE18">
        <v>9</v>
      </c>
      <c r="BF18">
        <v>2</v>
      </c>
      <c r="BG18">
        <v>1</v>
      </c>
      <c r="BH18">
        <v>0</v>
      </c>
      <c r="BI18">
        <v>0</v>
      </c>
      <c r="BJ18">
        <v>0</v>
      </c>
      <c r="BK18">
        <v>0</v>
      </c>
      <c r="BL18">
        <v>15</v>
      </c>
      <c r="BM18">
        <v>1</v>
      </c>
      <c r="BN18">
        <v>43</v>
      </c>
      <c r="BO18">
        <v>131</v>
      </c>
      <c r="BP18">
        <v>119</v>
      </c>
      <c r="BQ18">
        <v>0</v>
      </c>
      <c r="BR18">
        <v>1</v>
      </c>
      <c r="BS18">
        <v>4</v>
      </c>
      <c r="BT18">
        <v>0</v>
      </c>
      <c r="BU18">
        <v>0</v>
      </c>
      <c r="BV18">
        <v>0</v>
      </c>
      <c r="BW18">
        <v>2</v>
      </c>
      <c r="BX18">
        <v>0</v>
      </c>
      <c r="BY18">
        <v>5</v>
      </c>
      <c r="BZ18">
        <v>131</v>
      </c>
      <c r="CA18">
        <v>5</v>
      </c>
      <c r="CB18">
        <v>0</v>
      </c>
      <c r="CC18">
        <v>4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1</v>
      </c>
      <c r="CL18">
        <v>5</v>
      </c>
      <c r="CM18">
        <v>7</v>
      </c>
      <c r="CN18">
        <v>5</v>
      </c>
      <c r="CO18">
        <v>1</v>
      </c>
      <c r="CP18">
        <v>0</v>
      </c>
      <c r="CQ18">
        <v>1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7</v>
      </c>
      <c r="CY18">
        <v>21</v>
      </c>
      <c r="CZ18">
        <v>8</v>
      </c>
      <c r="DA18">
        <v>3</v>
      </c>
      <c r="DB18">
        <v>3</v>
      </c>
      <c r="DC18">
        <v>1</v>
      </c>
      <c r="DD18">
        <v>1</v>
      </c>
      <c r="DE18">
        <v>0</v>
      </c>
      <c r="DF18">
        <v>0</v>
      </c>
      <c r="DG18">
        <v>0</v>
      </c>
      <c r="DH18">
        <v>3</v>
      </c>
      <c r="DI18">
        <v>2</v>
      </c>
      <c r="DJ18">
        <v>21</v>
      </c>
      <c r="DK18">
        <v>79</v>
      </c>
      <c r="DL18">
        <v>64</v>
      </c>
      <c r="DM18">
        <v>8</v>
      </c>
      <c r="DN18">
        <v>0</v>
      </c>
      <c r="DO18">
        <v>1</v>
      </c>
      <c r="DP18">
        <v>2</v>
      </c>
      <c r="DQ18">
        <v>0</v>
      </c>
      <c r="DR18">
        <v>0</v>
      </c>
      <c r="DS18">
        <v>2</v>
      </c>
      <c r="DT18">
        <v>1</v>
      </c>
      <c r="DU18">
        <v>1</v>
      </c>
      <c r="DV18">
        <v>79</v>
      </c>
      <c r="DW18">
        <v>5</v>
      </c>
      <c r="DX18">
        <v>2</v>
      </c>
      <c r="DY18">
        <v>1</v>
      </c>
      <c r="DZ18">
        <v>0</v>
      </c>
      <c r="EA18">
        <v>1</v>
      </c>
      <c r="EB18">
        <v>0</v>
      </c>
      <c r="EC18">
        <v>0</v>
      </c>
      <c r="ED18">
        <v>0</v>
      </c>
      <c r="EE18">
        <v>0</v>
      </c>
      <c r="EF18">
        <v>1</v>
      </c>
      <c r="EG18">
        <v>0</v>
      </c>
      <c r="EH18">
        <v>5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2</v>
      </c>
      <c r="FF18">
        <v>0</v>
      </c>
      <c r="FG18">
        <v>2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2</v>
      </c>
    </row>
    <row r="19" spans="1:172" ht="14.25">
      <c r="A19">
        <v>14</v>
      </c>
      <c r="B19" t="str">
        <f t="shared" si="0"/>
        <v>100201</v>
      </c>
      <c r="C19" t="str">
        <f t="shared" si="1"/>
        <v>m. Kutno</v>
      </c>
      <c r="D19" t="str">
        <f t="shared" si="2"/>
        <v>kutnowski</v>
      </c>
      <c r="E19" t="str">
        <f t="shared" si="3"/>
        <v>łódzkie</v>
      </c>
      <c r="F19">
        <v>14</v>
      </c>
      <c r="G19" t="str">
        <f>"Szkoła Podstawowa Nr 6 im. Marii Skłodowskiej-Curie, ul. Łąkoszyńska 9, 99-300 Kutno"</f>
        <v>Szkoła Podstawowa Nr 6 im. Marii Skłodowskiej-Curie, ul. Łąkoszyńska 9, 99-300 Kutno</v>
      </c>
      <c r="H19">
        <v>1982</v>
      </c>
      <c r="I19">
        <v>1982</v>
      </c>
      <c r="J19">
        <v>0</v>
      </c>
      <c r="K19">
        <v>1400</v>
      </c>
      <c r="L19">
        <v>1012</v>
      </c>
      <c r="M19">
        <v>388</v>
      </c>
      <c r="N19">
        <v>388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388</v>
      </c>
      <c r="Z19">
        <v>0</v>
      </c>
      <c r="AA19">
        <v>0</v>
      </c>
      <c r="AB19">
        <v>388</v>
      </c>
      <c r="AC19">
        <v>21</v>
      </c>
      <c r="AD19">
        <v>367</v>
      </c>
      <c r="AE19">
        <v>45</v>
      </c>
      <c r="AF19">
        <v>44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45</v>
      </c>
      <c r="AQ19">
        <v>7</v>
      </c>
      <c r="AR19">
        <v>3</v>
      </c>
      <c r="AS19">
        <v>0</v>
      </c>
      <c r="AT19">
        <v>1</v>
      </c>
      <c r="AU19">
        <v>0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2</v>
      </c>
      <c r="BB19">
        <v>7</v>
      </c>
      <c r="BC19">
        <v>19</v>
      </c>
      <c r="BD19">
        <v>10</v>
      </c>
      <c r="BE19">
        <v>0</v>
      </c>
      <c r="BF19">
        <v>1</v>
      </c>
      <c r="BG19">
        <v>1</v>
      </c>
      <c r="BH19">
        <v>0</v>
      </c>
      <c r="BI19">
        <v>0</v>
      </c>
      <c r="BJ19">
        <v>0</v>
      </c>
      <c r="BK19">
        <v>0</v>
      </c>
      <c r="BL19">
        <v>6</v>
      </c>
      <c r="BM19">
        <v>1</v>
      </c>
      <c r="BN19">
        <v>19</v>
      </c>
      <c r="BO19">
        <v>140</v>
      </c>
      <c r="BP19">
        <v>119</v>
      </c>
      <c r="BQ19">
        <v>4</v>
      </c>
      <c r="BR19">
        <v>6</v>
      </c>
      <c r="BS19">
        <v>2</v>
      </c>
      <c r="BT19">
        <v>2</v>
      </c>
      <c r="BU19">
        <v>1</v>
      </c>
      <c r="BV19">
        <v>1</v>
      </c>
      <c r="BW19">
        <v>1</v>
      </c>
      <c r="BX19">
        <v>1</v>
      </c>
      <c r="BY19">
        <v>3</v>
      </c>
      <c r="BZ19">
        <v>140</v>
      </c>
      <c r="CA19">
        <v>3</v>
      </c>
      <c r="CB19">
        <v>2</v>
      </c>
      <c r="CC19">
        <v>1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3</v>
      </c>
      <c r="CM19">
        <v>8</v>
      </c>
      <c r="CN19">
        <v>6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1</v>
      </c>
      <c r="CX19">
        <v>8</v>
      </c>
      <c r="CY19">
        <v>30</v>
      </c>
      <c r="CZ19">
        <v>18</v>
      </c>
      <c r="DA19">
        <v>1</v>
      </c>
      <c r="DB19">
        <v>3</v>
      </c>
      <c r="DC19">
        <v>0</v>
      </c>
      <c r="DD19">
        <v>2</v>
      </c>
      <c r="DE19">
        <v>1</v>
      </c>
      <c r="DF19">
        <v>3</v>
      </c>
      <c r="DG19">
        <v>0</v>
      </c>
      <c r="DH19">
        <v>1</v>
      </c>
      <c r="DI19">
        <v>1</v>
      </c>
      <c r="DJ19">
        <v>30</v>
      </c>
      <c r="DK19">
        <v>99</v>
      </c>
      <c r="DL19">
        <v>74</v>
      </c>
      <c r="DM19">
        <v>15</v>
      </c>
      <c r="DN19">
        <v>0</v>
      </c>
      <c r="DO19">
        <v>3</v>
      </c>
      <c r="DP19">
        <v>2</v>
      </c>
      <c r="DQ19">
        <v>1</v>
      </c>
      <c r="DR19">
        <v>2</v>
      </c>
      <c r="DS19">
        <v>0</v>
      </c>
      <c r="DT19">
        <v>0</v>
      </c>
      <c r="DU19">
        <v>2</v>
      </c>
      <c r="DV19">
        <v>99</v>
      </c>
      <c r="DW19">
        <v>14</v>
      </c>
      <c r="DX19">
        <v>2</v>
      </c>
      <c r="DY19">
        <v>1</v>
      </c>
      <c r="DZ19">
        <v>0</v>
      </c>
      <c r="EA19">
        <v>6</v>
      </c>
      <c r="EB19">
        <v>0</v>
      </c>
      <c r="EC19">
        <v>1</v>
      </c>
      <c r="ED19">
        <v>2</v>
      </c>
      <c r="EE19">
        <v>0</v>
      </c>
      <c r="EF19">
        <v>1</v>
      </c>
      <c r="EG19">
        <v>1</v>
      </c>
      <c r="EH19">
        <v>14</v>
      </c>
      <c r="EI19">
        <v>1</v>
      </c>
      <c r="EJ19">
        <v>0</v>
      </c>
      <c r="EK19">
        <v>1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1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1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1</v>
      </c>
      <c r="FM19">
        <v>0</v>
      </c>
      <c r="FN19">
        <v>0</v>
      </c>
      <c r="FO19">
        <v>0</v>
      </c>
      <c r="FP19">
        <v>1</v>
      </c>
    </row>
    <row r="20" spans="1:172" ht="14.25">
      <c r="A20">
        <v>15</v>
      </c>
      <c r="B20" t="str">
        <f t="shared" si="0"/>
        <v>100201</v>
      </c>
      <c r="C20" t="str">
        <f t="shared" si="1"/>
        <v>m. Kutno</v>
      </c>
      <c r="D20" t="str">
        <f t="shared" si="2"/>
        <v>kutnowski</v>
      </c>
      <c r="E20" t="str">
        <f t="shared" si="3"/>
        <v>łódzkie</v>
      </c>
      <c r="F20">
        <v>15</v>
      </c>
      <c r="G20" t="str">
        <f>"Szkoła Podstawowa nr 6 im. Marii Skłodowskiej-Curie, ul. Łąkoszyńska 9, 99-300 Kutno"</f>
        <v>Szkoła Podstawowa nr 6 im. Marii Skłodowskiej-Curie, ul. Łąkoszyńska 9, 99-300 Kutno</v>
      </c>
      <c r="H20">
        <v>1708</v>
      </c>
      <c r="I20">
        <v>1708</v>
      </c>
      <c r="J20">
        <v>0</v>
      </c>
      <c r="K20">
        <v>1199</v>
      </c>
      <c r="L20">
        <v>709</v>
      </c>
      <c r="M20">
        <v>490</v>
      </c>
      <c r="N20">
        <v>490</v>
      </c>
      <c r="O20">
        <v>0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490</v>
      </c>
      <c r="Z20">
        <v>0</v>
      </c>
      <c r="AA20">
        <v>0</v>
      </c>
      <c r="AB20">
        <v>490</v>
      </c>
      <c r="AC20">
        <v>8</v>
      </c>
      <c r="AD20">
        <v>482</v>
      </c>
      <c r="AE20">
        <v>28</v>
      </c>
      <c r="AF20">
        <v>23</v>
      </c>
      <c r="AG20">
        <v>1</v>
      </c>
      <c r="AH20">
        <v>0</v>
      </c>
      <c r="AI20">
        <v>2</v>
      </c>
      <c r="AJ20">
        <v>0</v>
      </c>
      <c r="AK20">
        <v>0</v>
      </c>
      <c r="AL20">
        <v>0</v>
      </c>
      <c r="AM20">
        <v>1</v>
      </c>
      <c r="AN20">
        <v>1</v>
      </c>
      <c r="AO20">
        <v>0</v>
      </c>
      <c r="AP20">
        <v>28</v>
      </c>
      <c r="AQ20">
        <v>6</v>
      </c>
      <c r="AR20">
        <v>0</v>
      </c>
      <c r="AS20">
        <v>2</v>
      </c>
      <c r="AT20">
        <v>0</v>
      </c>
      <c r="AU20">
        <v>0</v>
      </c>
      <c r="AV20">
        <v>1</v>
      </c>
      <c r="AW20">
        <v>2</v>
      </c>
      <c r="AX20">
        <v>0</v>
      </c>
      <c r="AY20">
        <v>0</v>
      </c>
      <c r="AZ20">
        <v>1</v>
      </c>
      <c r="BA20">
        <v>0</v>
      </c>
      <c r="BB20">
        <v>6</v>
      </c>
      <c r="BC20">
        <v>37</v>
      </c>
      <c r="BD20">
        <v>16</v>
      </c>
      <c r="BE20">
        <v>5</v>
      </c>
      <c r="BF20">
        <v>1</v>
      </c>
      <c r="BG20">
        <v>1</v>
      </c>
      <c r="BH20">
        <v>0</v>
      </c>
      <c r="BI20">
        <v>1</v>
      </c>
      <c r="BJ20">
        <v>0</v>
      </c>
      <c r="BK20">
        <v>0</v>
      </c>
      <c r="BL20">
        <v>10</v>
      </c>
      <c r="BM20">
        <v>3</v>
      </c>
      <c r="BN20">
        <v>37</v>
      </c>
      <c r="BO20">
        <v>171</v>
      </c>
      <c r="BP20">
        <v>150</v>
      </c>
      <c r="BQ20">
        <v>2</v>
      </c>
      <c r="BR20">
        <v>4</v>
      </c>
      <c r="BS20">
        <v>5</v>
      </c>
      <c r="BT20">
        <v>1</v>
      </c>
      <c r="BU20">
        <v>4</v>
      </c>
      <c r="BV20">
        <v>3</v>
      </c>
      <c r="BW20">
        <v>1</v>
      </c>
      <c r="BX20">
        <v>0</v>
      </c>
      <c r="BY20">
        <v>1</v>
      </c>
      <c r="BZ20">
        <v>171</v>
      </c>
      <c r="CA20">
        <v>9</v>
      </c>
      <c r="CB20">
        <v>5</v>
      </c>
      <c r="CC20">
        <v>0</v>
      </c>
      <c r="CD20">
        <v>1</v>
      </c>
      <c r="CE20">
        <v>2</v>
      </c>
      <c r="CF20">
        <v>0</v>
      </c>
      <c r="CG20">
        <v>0</v>
      </c>
      <c r="CH20">
        <v>0</v>
      </c>
      <c r="CI20">
        <v>0</v>
      </c>
      <c r="CJ20">
        <v>1</v>
      </c>
      <c r="CK20">
        <v>0</v>
      </c>
      <c r="CL20">
        <v>9</v>
      </c>
      <c r="CM20">
        <v>12</v>
      </c>
      <c r="CN20">
        <v>10</v>
      </c>
      <c r="CO20">
        <v>0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12</v>
      </c>
      <c r="CY20">
        <v>45</v>
      </c>
      <c r="CZ20">
        <v>24</v>
      </c>
      <c r="DA20">
        <v>2</v>
      </c>
      <c r="DB20">
        <v>1</v>
      </c>
      <c r="DC20">
        <v>5</v>
      </c>
      <c r="DD20">
        <v>1</v>
      </c>
      <c r="DE20">
        <v>0</v>
      </c>
      <c r="DF20">
        <v>2</v>
      </c>
      <c r="DG20">
        <v>4</v>
      </c>
      <c r="DH20">
        <v>4</v>
      </c>
      <c r="DI20">
        <v>2</v>
      </c>
      <c r="DJ20">
        <v>45</v>
      </c>
      <c r="DK20">
        <v>158</v>
      </c>
      <c r="DL20">
        <v>119</v>
      </c>
      <c r="DM20">
        <v>20</v>
      </c>
      <c r="DN20">
        <v>0</v>
      </c>
      <c r="DO20">
        <v>1</v>
      </c>
      <c r="DP20">
        <v>1</v>
      </c>
      <c r="DQ20">
        <v>3</v>
      </c>
      <c r="DR20">
        <v>0</v>
      </c>
      <c r="DS20">
        <v>1</v>
      </c>
      <c r="DT20">
        <v>3</v>
      </c>
      <c r="DU20">
        <v>10</v>
      </c>
      <c r="DV20">
        <v>158</v>
      </c>
      <c r="DW20">
        <v>10</v>
      </c>
      <c r="DX20">
        <v>3</v>
      </c>
      <c r="DY20">
        <v>1</v>
      </c>
      <c r="DZ20">
        <v>0</v>
      </c>
      <c r="EA20">
        <v>3</v>
      </c>
      <c r="EB20">
        <v>0</v>
      </c>
      <c r="EC20">
        <v>0</v>
      </c>
      <c r="ED20">
        <v>0</v>
      </c>
      <c r="EE20">
        <v>0</v>
      </c>
      <c r="EF20">
        <v>2</v>
      </c>
      <c r="EG20">
        <v>1</v>
      </c>
      <c r="EH20">
        <v>10</v>
      </c>
      <c r="EI20">
        <v>2</v>
      </c>
      <c r="EJ20">
        <v>0</v>
      </c>
      <c r="EK20">
        <v>2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2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4</v>
      </c>
      <c r="FF20">
        <v>1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1</v>
      </c>
      <c r="FO20">
        <v>2</v>
      </c>
      <c r="FP20">
        <v>4</v>
      </c>
    </row>
    <row r="21" spans="1:172" ht="14.25">
      <c r="A21">
        <v>16</v>
      </c>
      <c r="B21" t="str">
        <f t="shared" si="0"/>
        <v>100201</v>
      </c>
      <c r="C21" t="str">
        <f t="shared" si="1"/>
        <v>m. Kutno</v>
      </c>
      <c r="D21" t="str">
        <f t="shared" si="2"/>
        <v>kutnowski</v>
      </c>
      <c r="E21" t="str">
        <f t="shared" si="3"/>
        <v>łódzkie</v>
      </c>
      <c r="F21">
        <v>16</v>
      </c>
      <c r="G21" t="s">
        <v>39</v>
      </c>
      <c r="H21">
        <v>1652</v>
      </c>
      <c r="I21">
        <v>1651</v>
      </c>
      <c r="J21">
        <v>1</v>
      </c>
      <c r="K21">
        <v>1160</v>
      </c>
      <c r="L21">
        <v>668</v>
      </c>
      <c r="M21">
        <v>492</v>
      </c>
      <c r="N21">
        <v>491</v>
      </c>
      <c r="O21">
        <v>1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492</v>
      </c>
      <c r="Z21">
        <v>0</v>
      </c>
      <c r="AA21">
        <v>0</v>
      </c>
      <c r="AB21">
        <v>492</v>
      </c>
      <c r="AC21">
        <v>19</v>
      </c>
      <c r="AD21">
        <v>473</v>
      </c>
      <c r="AE21">
        <v>34</v>
      </c>
      <c r="AF21">
        <v>34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34</v>
      </c>
      <c r="AQ21">
        <v>3</v>
      </c>
      <c r="AR21">
        <v>1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AZ21">
        <v>1</v>
      </c>
      <c r="BA21">
        <v>0</v>
      </c>
      <c r="BB21">
        <v>3</v>
      </c>
      <c r="BC21">
        <v>40</v>
      </c>
      <c r="BD21">
        <v>20</v>
      </c>
      <c r="BE21">
        <v>5</v>
      </c>
      <c r="BF21">
        <v>1</v>
      </c>
      <c r="BG21">
        <v>0</v>
      </c>
      <c r="BH21">
        <v>0</v>
      </c>
      <c r="BI21">
        <v>2</v>
      </c>
      <c r="BJ21">
        <v>0</v>
      </c>
      <c r="BK21">
        <v>0</v>
      </c>
      <c r="BL21">
        <v>12</v>
      </c>
      <c r="BM21">
        <v>0</v>
      </c>
      <c r="BN21">
        <v>40</v>
      </c>
      <c r="BO21">
        <v>174</v>
      </c>
      <c r="BP21">
        <v>154</v>
      </c>
      <c r="BQ21">
        <v>4</v>
      </c>
      <c r="BR21">
        <v>9</v>
      </c>
      <c r="BS21">
        <v>1</v>
      </c>
      <c r="BT21">
        <v>3</v>
      </c>
      <c r="BU21">
        <v>1</v>
      </c>
      <c r="BV21">
        <v>0</v>
      </c>
      <c r="BW21">
        <v>0</v>
      </c>
      <c r="BX21">
        <v>2</v>
      </c>
      <c r="BY21">
        <v>0</v>
      </c>
      <c r="BZ21">
        <v>174</v>
      </c>
      <c r="CA21">
        <v>10</v>
      </c>
      <c r="CB21">
        <v>2</v>
      </c>
      <c r="CC21">
        <v>5</v>
      </c>
      <c r="CD21">
        <v>1</v>
      </c>
      <c r="CE21">
        <v>2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10</v>
      </c>
      <c r="CM21">
        <v>5</v>
      </c>
      <c r="CN21">
        <v>2</v>
      </c>
      <c r="CO21">
        <v>0</v>
      </c>
      <c r="CP21">
        <v>0</v>
      </c>
      <c r="CQ21">
        <v>1</v>
      </c>
      <c r="CR21">
        <v>0</v>
      </c>
      <c r="CS21">
        <v>0</v>
      </c>
      <c r="CT21">
        <v>0</v>
      </c>
      <c r="CU21">
        <v>1</v>
      </c>
      <c r="CV21">
        <v>0</v>
      </c>
      <c r="CW21">
        <v>1</v>
      </c>
      <c r="CX21">
        <v>5</v>
      </c>
      <c r="CY21">
        <v>26</v>
      </c>
      <c r="CZ21">
        <v>13</v>
      </c>
      <c r="DA21">
        <v>3</v>
      </c>
      <c r="DB21">
        <v>1</v>
      </c>
      <c r="DC21">
        <v>2</v>
      </c>
      <c r="DD21">
        <v>0</v>
      </c>
      <c r="DE21">
        <v>6</v>
      </c>
      <c r="DF21">
        <v>0</v>
      </c>
      <c r="DG21">
        <v>0</v>
      </c>
      <c r="DH21">
        <v>1</v>
      </c>
      <c r="DI21">
        <v>0</v>
      </c>
      <c r="DJ21">
        <v>26</v>
      </c>
      <c r="DK21">
        <v>164</v>
      </c>
      <c r="DL21">
        <v>136</v>
      </c>
      <c r="DM21">
        <v>16</v>
      </c>
      <c r="DN21">
        <v>1</v>
      </c>
      <c r="DO21">
        <v>3</v>
      </c>
      <c r="DP21">
        <v>3</v>
      </c>
      <c r="DQ21">
        <v>1</v>
      </c>
      <c r="DR21">
        <v>0</v>
      </c>
      <c r="DS21">
        <v>0</v>
      </c>
      <c r="DT21">
        <v>1</v>
      </c>
      <c r="DU21">
        <v>3</v>
      </c>
      <c r="DV21">
        <v>164</v>
      </c>
      <c r="DW21">
        <v>10</v>
      </c>
      <c r="DX21">
        <v>3</v>
      </c>
      <c r="DY21">
        <v>0</v>
      </c>
      <c r="DZ21">
        <v>0</v>
      </c>
      <c r="EA21">
        <v>4</v>
      </c>
      <c r="EB21">
        <v>0</v>
      </c>
      <c r="EC21">
        <v>1</v>
      </c>
      <c r="ED21">
        <v>0</v>
      </c>
      <c r="EE21">
        <v>0</v>
      </c>
      <c r="EF21">
        <v>1</v>
      </c>
      <c r="EG21">
        <v>1</v>
      </c>
      <c r="EH21">
        <v>10</v>
      </c>
      <c r="EI21">
        <v>4</v>
      </c>
      <c r="EJ21">
        <v>0</v>
      </c>
      <c r="EK21">
        <v>3</v>
      </c>
      <c r="EL21">
        <v>0</v>
      </c>
      <c r="EM21">
        <v>0</v>
      </c>
      <c r="EN21">
        <v>0</v>
      </c>
      <c r="EO21">
        <v>0</v>
      </c>
      <c r="EP21">
        <v>1</v>
      </c>
      <c r="EQ21">
        <v>0</v>
      </c>
      <c r="ER21">
        <v>4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3</v>
      </c>
      <c r="FF21">
        <v>0</v>
      </c>
      <c r="FG21">
        <v>2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1</v>
      </c>
      <c r="FP21">
        <v>3</v>
      </c>
    </row>
    <row r="22" spans="1:172" ht="14.25">
      <c r="A22">
        <v>17</v>
      </c>
      <c r="B22" t="str">
        <f t="shared" si="0"/>
        <v>100201</v>
      </c>
      <c r="C22" t="str">
        <f t="shared" si="1"/>
        <v>m. Kutno</v>
      </c>
      <c r="D22" t="str">
        <f t="shared" si="2"/>
        <v>kutnowski</v>
      </c>
      <c r="E22" t="str">
        <f t="shared" si="3"/>
        <v>łódzkie</v>
      </c>
      <c r="F22">
        <v>17</v>
      </c>
      <c r="G22" t="s">
        <v>40</v>
      </c>
      <c r="H22">
        <v>1866</v>
      </c>
      <c r="I22">
        <v>1866</v>
      </c>
      <c r="J22">
        <v>0</v>
      </c>
      <c r="K22">
        <v>1319</v>
      </c>
      <c r="L22">
        <v>938</v>
      </c>
      <c r="M22">
        <v>381</v>
      </c>
      <c r="N22">
        <v>381</v>
      </c>
      <c r="O22">
        <v>0</v>
      </c>
      <c r="P22">
        <v>0</v>
      </c>
      <c r="Q22">
        <v>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380</v>
      </c>
      <c r="Z22">
        <v>0</v>
      </c>
      <c r="AA22">
        <v>0</v>
      </c>
      <c r="AB22">
        <v>380</v>
      </c>
      <c r="AC22">
        <v>15</v>
      </c>
      <c r="AD22">
        <v>365</v>
      </c>
      <c r="AE22">
        <v>36</v>
      </c>
      <c r="AF22">
        <v>32</v>
      </c>
      <c r="AG22">
        <v>1</v>
      </c>
      <c r="AH22">
        <v>0</v>
      </c>
      <c r="AI22">
        <v>2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36</v>
      </c>
      <c r="AQ22">
        <v>4</v>
      </c>
      <c r="AR22">
        <v>2</v>
      </c>
      <c r="AS22">
        <v>1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4</v>
      </c>
      <c r="BC22">
        <v>52</v>
      </c>
      <c r="BD22">
        <v>27</v>
      </c>
      <c r="BE22">
        <v>6</v>
      </c>
      <c r="BF22">
        <v>2</v>
      </c>
      <c r="BG22">
        <v>2</v>
      </c>
      <c r="BH22">
        <v>0</v>
      </c>
      <c r="BI22">
        <v>3</v>
      </c>
      <c r="BJ22">
        <v>0</v>
      </c>
      <c r="BK22">
        <v>0</v>
      </c>
      <c r="BL22">
        <v>7</v>
      </c>
      <c r="BM22">
        <v>5</v>
      </c>
      <c r="BN22">
        <v>52</v>
      </c>
      <c r="BO22">
        <v>113</v>
      </c>
      <c r="BP22">
        <v>98</v>
      </c>
      <c r="BQ22">
        <v>3</v>
      </c>
      <c r="BR22">
        <v>4</v>
      </c>
      <c r="BS22">
        <v>3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5</v>
      </c>
      <c r="BZ22">
        <v>113</v>
      </c>
      <c r="CA22">
        <v>12</v>
      </c>
      <c r="CB22">
        <v>8</v>
      </c>
      <c r="CC22">
        <v>0</v>
      </c>
      <c r="CD22">
        <v>0</v>
      </c>
      <c r="CE22">
        <v>0</v>
      </c>
      <c r="CF22">
        <v>1</v>
      </c>
      <c r="CG22">
        <v>2</v>
      </c>
      <c r="CH22">
        <v>0</v>
      </c>
      <c r="CI22">
        <v>0</v>
      </c>
      <c r="CJ22">
        <v>1</v>
      </c>
      <c r="CK22">
        <v>0</v>
      </c>
      <c r="CL22">
        <v>12</v>
      </c>
      <c r="CM22">
        <v>5</v>
      </c>
      <c r="CN22">
        <v>3</v>
      </c>
      <c r="CO22">
        <v>2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5</v>
      </c>
      <c r="CY22">
        <v>29</v>
      </c>
      <c r="CZ22">
        <v>21</v>
      </c>
      <c r="DA22">
        <v>4</v>
      </c>
      <c r="DB22">
        <v>1</v>
      </c>
      <c r="DC22">
        <v>0</v>
      </c>
      <c r="DD22">
        <v>0</v>
      </c>
      <c r="DE22">
        <v>1</v>
      </c>
      <c r="DF22">
        <v>0</v>
      </c>
      <c r="DG22">
        <v>0</v>
      </c>
      <c r="DH22">
        <v>2</v>
      </c>
      <c r="DI22">
        <v>0</v>
      </c>
      <c r="DJ22">
        <v>29</v>
      </c>
      <c r="DK22">
        <v>106</v>
      </c>
      <c r="DL22">
        <v>86</v>
      </c>
      <c r="DM22">
        <v>11</v>
      </c>
      <c r="DN22">
        <v>0</v>
      </c>
      <c r="DO22">
        <v>1</v>
      </c>
      <c r="DP22">
        <v>5</v>
      </c>
      <c r="DQ22">
        <v>2</v>
      </c>
      <c r="DR22">
        <v>0</v>
      </c>
      <c r="DS22">
        <v>0</v>
      </c>
      <c r="DT22">
        <v>1</v>
      </c>
      <c r="DU22">
        <v>0</v>
      </c>
      <c r="DV22">
        <v>106</v>
      </c>
      <c r="DW22">
        <v>2</v>
      </c>
      <c r="DX22">
        <v>0</v>
      </c>
      <c r="DY22">
        <v>0</v>
      </c>
      <c r="DZ22">
        <v>0</v>
      </c>
      <c r="EA22">
        <v>2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2</v>
      </c>
      <c r="EI22">
        <v>4</v>
      </c>
      <c r="EJ22">
        <v>0</v>
      </c>
      <c r="EK22">
        <v>2</v>
      </c>
      <c r="EL22">
        <v>0</v>
      </c>
      <c r="EM22">
        <v>0</v>
      </c>
      <c r="EN22">
        <v>0</v>
      </c>
      <c r="EO22">
        <v>0</v>
      </c>
      <c r="EP22">
        <v>2</v>
      </c>
      <c r="EQ22">
        <v>0</v>
      </c>
      <c r="ER22">
        <v>4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2</v>
      </c>
      <c r="FF22">
        <v>1</v>
      </c>
      <c r="FG22">
        <v>0</v>
      </c>
      <c r="FH22">
        <v>0</v>
      </c>
      <c r="FI22">
        <v>1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2</v>
      </c>
    </row>
    <row r="23" spans="1:172" ht="14.25">
      <c r="A23">
        <v>18</v>
      </c>
      <c r="B23" t="str">
        <f t="shared" si="0"/>
        <v>100201</v>
      </c>
      <c r="C23" t="str">
        <f t="shared" si="1"/>
        <v>m. Kutno</v>
      </c>
      <c r="D23" t="str">
        <f t="shared" si="2"/>
        <v>kutnowski</v>
      </c>
      <c r="E23" t="str">
        <f t="shared" si="3"/>
        <v>łódzkie</v>
      </c>
      <c r="F23">
        <v>18</v>
      </c>
      <c r="G23" t="str">
        <f>"Gimnazjum Nr 1 im. Adama Mickiewicza, ul. Dr. Antoniego Troczewskiego 2, 99-300 Kutno"</f>
        <v>Gimnazjum Nr 1 im. Adama Mickiewicza, ul. Dr. Antoniego Troczewskiego 2, 99-300 Kutno</v>
      </c>
      <c r="H23">
        <v>1845</v>
      </c>
      <c r="I23">
        <v>1845</v>
      </c>
      <c r="J23">
        <v>0</v>
      </c>
      <c r="K23">
        <v>1310</v>
      </c>
      <c r="L23">
        <v>857</v>
      </c>
      <c r="M23">
        <v>453</v>
      </c>
      <c r="N23">
        <v>453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453</v>
      </c>
      <c r="Z23">
        <v>0</v>
      </c>
      <c r="AA23">
        <v>0</v>
      </c>
      <c r="AB23">
        <v>453</v>
      </c>
      <c r="AC23">
        <v>19</v>
      </c>
      <c r="AD23">
        <v>434</v>
      </c>
      <c r="AE23">
        <v>37</v>
      </c>
      <c r="AF23">
        <v>35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2</v>
      </c>
      <c r="AP23">
        <v>37</v>
      </c>
      <c r="AQ23">
        <v>9</v>
      </c>
      <c r="AR23">
        <v>3</v>
      </c>
      <c r="AS23">
        <v>0</v>
      </c>
      <c r="AT23">
        <v>0</v>
      </c>
      <c r="AU23">
        <v>0</v>
      </c>
      <c r="AV23">
        <v>1</v>
      </c>
      <c r="AW23">
        <v>2</v>
      </c>
      <c r="AX23">
        <v>0</v>
      </c>
      <c r="AY23">
        <v>0</v>
      </c>
      <c r="AZ23">
        <v>1</v>
      </c>
      <c r="BA23">
        <v>2</v>
      </c>
      <c r="BB23">
        <v>9</v>
      </c>
      <c r="BC23">
        <v>46</v>
      </c>
      <c r="BD23">
        <v>25</v>
      </c>
      <c r="BE23">
        <v>3</v>
      </c>
      <c r="BF23">
        <v>0</v>
      </c>
      <c r="BG23">
        <v>1</v>
      </c>
      <c r="BH23">
        <v>0</v>
      </c>
      <c r="BI23">
        <v>2</v>
      </c>
      <c r="BJ23">
        <v>0</v>
      </c>
      <c r="BK23">
        <v>2</v>
      </c>
      <c r="BL23">
        <v>9</v>
      </c>
      <c r="BM23">
        <v>4</v>
      </c>
      <c r="BN23">
        <v>46</v>
      </c>
      <c r="BO23">
        <v>155</v>
      </c>
      <c r="BP23">
        <v>128</v>
      </c>
      <c r="BQ23">
        <v>9</v>
      </c>
      <c r="BR23">
        <v>8</v>
      </c>
      <c r="BS23">
        <v>5</v>
      </c>
      <c r="BT23">
        <v>1</v>
      </c>
      <c r="BU23">
        <v>1</v>
      </c>
      <c r="BV23">
        <v>0</v>
      </c>
      <c r="BW23">
        <v>0</v>
      </c>
      <c r="BX23">
        <v>0</v>
      </c>
      <c r="BY23">
        <v>3</v>
      </c>
      <c r="BZ23">
        <v>155</v>
      </c>
      <c r="CA23">
        <v>12</v>
      </c>
      <c r="CB23">
        <v>3</v>
      </c>
      <c r="CC23">
        <v>2</v>
      </c>
      <c r="CD23">
        <v>1</v>
      </c>
      <c r="CE23">
        <v>1</v>
      </c>
      <c r="CF23">
        <v>0</v>
      </c>
      <c r="CG23">
        <v>1</v>
      </c>
      <c r="CH23">
        <v>0</v>
      </c>
      <c r="CI23">
        <v>0</v>
      </c>
      <c r="CJ23">
        <v>0</v>
      </c>
      <c r="CK23">
        <v>4</v>
      </c>
      <c r="CL23">
        <v>12</v>
      </c>
      <c r="CM23">
        <v>6</v>
      </c>
      <c r="CN23">
        <v>3</v>
      </c>
      <c r="CO23">
        <v>2</v>
      </c>
      <c r="CP23">
        <v>0</v>
      </c>
      <c r="CQ23">
        <v>0</v>
      </c>
      <c r="CR23">
        <v>0</v>
      </c>
      <c r="CS23">
        <v>1</v>
      </c>
      <c r="CT23">
        <v>0</v>
      </c>
      <c r="CU23">
        <v>0</v>
      </c>
      <c r="CV23">
        <v>0</v>
      </c>
      <c r="CW23">
        <v>0</v>
      </c>
      <c r="CX23">
        <v>6</v>
      </c>
      <c r="CY23">
        <v>17</v>
      </c>
      <c r="CZ23">
        <v>11</v>
      </c>
      <c r="DA23">
        <v>2</v>
      </c>
      <c r="DB23">
        <v>2</v>
      </c>
      <c r="DC23">
        <v>1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1</v>
      </c>
      <c r="DJ23">
        <v>17</v>
      </c>
      <c r="DK23">
        <v>138</v>
      </c>
      <c r="DL23">
        <v>105</v>
      </c>
      <c r="DM23">
        <v>22</v>
      </c>
      <c r="DN23">
        <v>3</v>
      </c>
      <c r="DO23">
        <v>1</v>
      </c>
      <c r="DP23">
        <v>2</v>
      </c>
      <c r="DQ23">
        <v>2</v>
      </c>
      <c r="DR23">
        <v>0</v>
      </c>
      <c r="DS23">
        <v>1</v>
      </c>
      <c r="DT23">
        <v>1</v>
      </c>
      <c r="DU23">
        <v>1</v>
      </c>
      <c r="DV23">
        <v>138</v>
      </c>
      <c r="DW23">
        <v>8</v>
      </c>
      <c r="DX23">
        <v>5</v>
      </c>
      <c r="DY23">
        <v>0</v>
      </c>
      <c r="DZ23">
        <v>1</v>
      </c>
      <c r="EA23">
        <v>1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1</v>
      </c>
      <c r="EH23">
        <v>8</v>
      </c>
      <c r="EI23">
        <v>3</v>
      </c>
      <c r="EJ23">
        <v>0</v>
      </c>
      <c r="EK23">
        <v>3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3</v>
      </c>
      <c r="ES23">
        <v>1</v>
      </c>
      <c r="ET23">
        <v>0</v>
      </c>
      <c r="EU23">
        <v>1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1</v>
      </c>
      <c r="FE23">
        <v>2</v>
      </c>
      <c r="FF23">
        <v>0</v>
      </c>
      <c r="FG23">
        <v>0</v>
      </c>
      <c r="FH23">
        <v>1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1</v>
      </c>
      <c r="FP23">
        <v>2</v>
      </c>
    </row>
    <row r="24" spans="1:172" ht="14.25">
      <c r="A24">
        <v>19</v>
      </c>
      <c r="B24" t="str">
        <f t="shared" si="0"/>
        <v>100201</v>
      </c>
      <c r="C24" t="str">
        <f t="shared" si="1"/>
        <v>m. Kutno</v>
      </c>
      <c r="D24" t="str">
        <f t="shared" si="2"/>
        <v>kutnowski</v>
      </c>
      <c r="E24" t="str">
        <f t="shared" si="3"/>
        <v>łódzkie</v>
      </c>
      <c r="F24">
        <v>19</v>
      </c>
      <c r="G24" t="s">
        <v>39</v>
      </c>
      <c r="H24">
        <v>1835</v>
      </c>
      <c r="I24">
        <v>1835</v>
      </c>
      <c r="J24">
        <v>0</v>
      </c>
      <c r="K24">
        <v>1300</v>
      </c>
      <c r="L24">
        <v>865</v>
      </c>
      <c r="M24">
        <v>435</v>
      </c>
      <c r="N24">
        <v>435</v>
      </c>
      <c r="O24">
        <v>0</v>
      </c>
      <c r="P24">
        <v>0</v>
      </c>
      <c r="Q24">
        <v>2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435</v>
      </c>
      <c r="Z24">
        <v>0</v>
      </c>
      <c r="AA24">
        <v>0</v>
      </c>
      <c r="AB24">
        <v>435</v>
      </c>
      <c r="AC24">
        <v>10</v>
      </c>
      <c r="AD24">
        <v>425</v>
      </c>
      <c r="AE24">
        <v>44</v>
      </c>
      <c r="AF24">
        <v>40</v>
      </c>
      <c r="AG24">
        <v>1</v>
      </c>
      <c r="AH24">
        <v>2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44</v>
      </c>
      <c r="AQ24">
        <v>12</v>
      </c>
      <c r="AR24">
        <v>5</v>
      </c>
      <c r="AS24">
        <v>1</v>
      </c>
      <c r="AT24">
        <v>0</v>
      </c>
      <c r="AU24">
        <v>0</v>
      </c>
      <c r="AV24">
        <v>1</v>
      </c>
      <c r="AW24">
        <v>2</v>
      </c>
      <c r="AX24">
        <v>0</v>
      </c>
      <c r="AY24">
        <v>0</v>
      </c>
      <c r="AZ24">
        <v>1</v>
      </c>
      <c r="BA24">
        <v>2</v>
      </c>
      <c r="BB24">
        <v>12</v>
      </c>
      <c r="BC24">
        <v>33</v>
      </c>
      <c r="BD24">
        <v>15</v>
      </c>
      <c r="BE24">
        <v>3</v>
      </c>
      <c r="BF24">
        <v>1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10</v>
      </c>
      <c r="BM24">
        <v>4</v>
      </c>
      <c r="BN24">
        <v>33</v>
      </c>
      <c r="BO24">
        <v>144</v>
      </c>
      <c r="BP24">
        <v>122</v>
      </c>
      <c r="BQ24">
        <v>7</v>
      </c>
      <c r="BR24">
        <v>7</v>
      </c>
      <c r="BS24">
        <v>0</v>
      </c>
      <c r="BT24">
        <v>1</v>
      </c>
      <c r="BU24">
        <v>1</v>
      </c>
      <c r="BV24">
        <v>0</v>
      </c>
      <c r="BW24">
        <v>1</v>
      </c>
      <c r="BX24">
        <v>4</v>
      </c>
      <c r="BY24">
        <v>1</v>
      </c>
      <c r="BZ24">
        <v>144</v>
      </c>
      <c r="CA24">
        <v>12</v>
      </c>
      <c r="CB24">
        <v>8</v>
      </c>
      <c r="CC24">
        <v>1</v>
      </c>
      <c r="CD24">
        <v>0</v>
      </c>
      <c r="CE24">
        <v>0</v>
      </c>
      <c r="CF24">
        <v>0</v>
      </c>
      <c r="CG24">
        <v>1</v>
      </c>
      <c r="CH24">
        <v>0</v>
      </c>
      <c r="CI24">
        <v>0</v>
      </c>
      <c r="CJ24">
        <v>1</v>
      </c>
      <c r="CK24">
        <v>1</v>
      </c>
      <c r="CL24">
        <v>12</v>
      </c>
      <c r="CM24">
        <v>6</v>
      </c>
      <c r="CN24">
        <v>3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1</v>
      </c>
      <c r="CU24">
        <v>0</v>
      </c>
      <c r="CV24">
        <v>0</v>
      </c>
      <c r="CW24">
        <v>1</v>
      </c>
      <c r="CX24">
        <v>6</v>
      </c>
      <c r="CY24">
        <v>16</v>
      </c>
      <c r="CZ24">
        <v>7</v>
      </c>
      <c r="DA24">
        <v>0</v>
      </c>
      <c r="DB24">
        <v>1</v>
      </c>
      <c r="DC24">
        <v>1</v>
      </c>
      <c r="DD24">
        <v>2</v>
      </c>
      <c r="DE24">
        <v>0</v>
      </c>
      <c r="DF24">
        <v>0</v>
      </c>
      <c r="DG24">
        <v>0</v>
      </c>
      <c r="DH24">
        <v>3</v>
      </c>
      <c r="DI24">
        <v>2</v>
      </c>
      <c r="DJ24">
        <v>16</v>
      </c>
      <c r="DK24">
        <v>137</v>
      </c>
      <c r="DL24">
        <v>103</v>
      </c>
      <c r="DM24">
        <v>22</v>
      </c>
      <c r="DN24">
        <v>0</v>
      </c>
      <c r="DO24">
        <v>1</v>
      </c>
      <c r="DP24">
        <v>2</v>
      </c>
      <c r="DQ24">
        <v>0</v>
      </c>
      <c r="DR24">
        <v>0</v>
      </c>
      <c r="DS24">
        <v>4</v>
      </c>
      <c r="DT24">
        <v>0</v>
      </c>
      <c r="DU24">
        <v>5</v>
      </c>
      <c r="DV24">
        <v>137</v>
      </c>
      <c r="DW24">
        <v>16</v>
      </c>
      <c r="DX24">
        <v>8</v>
      </c>
      <c r="DY24">
        <v>1</v>
      </c>
      <c r="DZ24">
        <v>0</v>
      </c>
      <c r="EA24">
        <v>3</v>
      </c>
      <c r="EB24">
        <v>2</v>
      </c>
      <c r="EC24">
        <v>0</v>
      </c>
      <c r="ED24">
        <v>1</v>
      </c>
      <c r="EE24">
        <v>0</v>
      </c>
      <c r="EF24">
        <v>0</v>
      </c>
      <c r="EG24">
        <v>1</v>
      </c>
      <c r="EH24">
        <v>16</v>
      </c>
      <c r="EI24">
        <v>3</v>
      </c>
      <c r="EJ24">
        <v>1</v>
      </c>
      <c r="EK24">
        <v>1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1</v>
      </c>
      <c r="ER24">
        <v>3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2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1</v>
      </c>
      <c r="FL24">
        <v>0</v>
      </c>
      <c r="FM24">
        <v>0</v>
      </c>
      <c r="FN24">
        <v>0</v>
      </c>
      <c r="FO24">
        <v>1</v>
      </c>
      <c r="FP24">
        <v>2</v>
      </c>
    </row>
    <row r="25" spans="1:172" ht="14.25">
      <c r="A25">
        <v>20</v>
      </c>
      <c r="B25" t="str">
        <f t="shared" si="0"/>
        <v>100201</v>
      </c>
      <c r="C25" t="str">
        <f t="shared" si="1"/>
        <v>m. Kutno</v>
      </c>
      <c r="D25" t="str">
        <f t="shared" si="2"/>
        <v>kutnowski</v>
      </c>
      <c r="E25" t="str">
        <f t="shared" si="3"/>
        <v>łódzkie</v>
      </c>
      <c r="F25">
        <v>20</v>
      </c>
      <c r="G25" t="str">
        <f>"Szkoła Podstawowa Nr 9 im. Wł. Jagiełły, ul. Władysława Jagiełły 6, 99-300 Kutno"</f>
        <v>Szkoła Podstawowa Nr 9 im. Wł. Jagiełły, ul. Władysława Jagiełły 6, 99-300 Kutno</v>
      </c>
      <c r="H25">
        <v>1693</v>
      </c>
      <c r="I25">
        <v>1693</v>
      </c>
      <c r="J25">
        <v>0</v>
      </c>
      <c r="K25">
        <v>1199</v>
      </c>
      <c r="L25">
        <v>821</v>
      </c>
      <c r="M25">
        <v>378</v>
      </c>
      <c r="N25">
        <v>378</v>
      </c>
      <c r="O25">
        <v>0</v>
      </c>
      <c r="P25">
        <v>0</v>
      </c>
      <c r="Q25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378</v>
      </c>
      <c r="Z25">
        <v>0</v>
      </c>
      <c r="AA25">
        <v>0</v>
      </c>
      <c r="AB25">
        <v>378</v>
      </c>
      <c r="AC25">
        <v>13</v>
      </c>
      <c r="AD25">
        <v>365</v>
      </c>
      <c r="AE25">
        <v>47</v>
      </c>
      <c r="AF25">
        <v>47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47</v>
      </c>
      <c r="AQ25">
        <v>7</v>
      </c>
      <c r="AR25">
        <v>2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4</v>
      </c>
      <c r="AY25">
        <v>0</v>
      </c>
      <c r="AZ25">
        <v>0</v>
      </c>
      <c r="BA25">
        <v>0</v>
      </c>
      <c r="BB25">
        <v>7</v>
      </c>
      <c r="BC25">
        <v>37</v>
      </c>
      <c r="BD25">
        <v>15</v>
      </c>
      <c r="BE25">
        <v>8</v>
      </c>
      <c r="BF25">
        <v>1</v>
      </c>
      <c r="BG25">
        <v>2</v>
      </c>
      <c r="BH25">
        <v>0</v>
      </c>
      <c r="BI25">
        <v>2</v>
      </c>
      <c r="BJ25">
        <v>0</v>
      </c>
      <c r="BK25">
        <v>1</v>
      </c>
      <c r="BL25">
        <v>8</v>
      </c>
      <c r="BM25">
        <v>0</v>
      </c>
      <c r="BN25">
        <v>37</v>
      </c>
      <c r="BO25">
        <v>146</v>
      </c>
      <c r="BP25">
        <v>120</v>
      </c>
      <c r="BQ25">
        <v>7</v>
      </c>
      <c r="BR25">
        <v>7</v>
      </c>
      <c r="BS25">
        <v>1</v>
      </c>
      <c r="BT25">
        <v>0</v>
      </c>
      <c r="BU25">
        <v>0</v>
      </c>
      <c r="BV25">
        <v>4</v>
      </c>
      <c r="BW25">
        <v>1</v>
      </c>
      <c r="BX25">
        <v>1</v>
      </c>
      <c r="BY25">
        <v>5</v>
      </c>
      <c r="BZ25">
        <v>146</v>
      </c>
      <c r="CA25">
        <v>4</v>
      </c>
      <c r="CB25">
        <v>0</v>
      </c>
      <c r="CC25">
        <v>1</v>
      </c>
      <c r="CD25">
        <v>0</v>
      </c>
      <c r="CE25">
        <v>1</v>
      </c>
      <c r="CF25">
        <v>0</v>
      </c>
      <c r="CG25">
        <v>0</v>
      </c>
      <c r="CH25">
        <v>0</v>
      </c>
      <c r="CI25">
        <v>0</v>
      </c>
      <c r="CJ25">
        <v>1</v>
      </c>
      <c r="CK25">
        <v>1</v>
      </c>
      <c r="CL25">
        <v>4</v>
      </c>
      <c r="CM25">
        <v>8</v>
      </c>
      <c r="CN25">
        <v>7</v>
      </c>
      <c r="CO25">
        <v>1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8</v>
      </c>
      <c r="CY25">
        <v>13</v>
      </c>
      <c r="CZ25">
        <v>7</v>
      </c>
      <c r="DA25">
        <v>2</v>
      </c>
      <c r="DB25">
        <v>1</v>
      </c>
      <c r="DC25">
        <v>1</v>
      </c>
      <c r="DD25">
        <v>0</v>
      </c>
      <c r="DE25">
        <v>0</v>
      </c>
      <c r="DF25">
        <v>0</v>
      </c>
      <c r="DG25">
        <v>1</v>
      </c>
      <c r="DH25">
        <v>0</v>
      </c>
      <c r="DI25">
        <v>1</v>
      </c>
      <c r="DJ25">
        <v>13</v>
      </c>
      <c r="DK25">
        <v>88</v>
      </c>
      <c r="DL25">
        <v>56</v>
      </c>
      <c r="DM25">
        <v>23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2</v>
      </c>
      <c r="DT25">
        <v>1</v>
      </c>
      <c r="DU25">
        <v>6</v>
      </c>
      <c r="DV25">
        <v>88</v>
      </c>
      <c r="DW25">
        <v>11</v>
      </c>
      <c r="DX25">
        <v>5</v>
      </c>
      <c r="DY25">
        <v>2</v>
      </c>
      <c r="DZ25">
        <v>0</v>
      </c>
      <c r="EA25">
        <v>0</v>
      </c>
      <c r="EB25">
        <v>0</v>
      </c>
      <c r="EC25">
        <v>0</v>
      </c>
      <c r="ED25">
        <v>1</v>
      </c>
      <c r="EE25">
        <v>1</v>
      </c>
      <c r="EF25">
        <v>2</v>
      </c>
      <c r="EG25">
        <v>0</v>
      </c>
      <c r="EH25">
        <v>11</v>
      </c>
      <c r="EI25">
        <v>3</v>
      </c>
      <c r="EJ25">
        <v>1</v>
      </c>
      <c r="EK25">
        <v>2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3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1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1</v>
      </c>
      <c r="FN25">
        <v>0</v>
      </c>
      <c r="FO25">
        <v>0</v>
      </c>
      <c r="FP25">
        <v>1</v>
      </c>
    </row>
    <row r="26" spans="1:172" ht="14.25">
      <c r="A26">
        <v>21</v>
      </c>
      <c r="B26" t="str">
        <f t="shared" si="0"/>
        <v>100201</v>
      </c>
      <c r="C26" t="str">
        <f t="shared" si="1"/>
        <v>m. Kutno</v>
      </c>
      <c r="D26" t="str">
        <f t="shared" si="2"/>
        <v>kutnowski</v>
      </c>
      <c r="E26" t="str">
        <f t="shared" si="3"/>
        <v>łódzkie</v>
      </c>
      <c r="F26">
        <v>21</v>
      </c>
      <c r="G26" t="str">
        <f>"Szkoła Podstawowa Nr 9 im. Wł. Jagiełły, ul. Władysława Jagiełły 6, 99-300 Kutno"</f>
        <v>Szkoła Podstawowa Nr 9 im. Wł. Jagiełły, ul. Władysława Jagiełły 6, 99-300 Kutno</v>
      </c>
      <c r="H26">
        <v>1681</v>
      </c>
      <c r="I26">
        <v>1681</v>
      </c>
      <c r="J26">
        <v>0</v>
      </c>
      <c r="K26">
        <v>1190</v>
      </c>
      <c r="L26">
        <v>846</v>
      </c>
      <c r="M26">
        <v>344</v>
      </c>
      <c r="N26">
        <v>344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344</v>
      </c>
      <c r="Z26">
        <v>0</v>
      </c>
      <c r="AA26">
        <v>0</v>
      </c>
      <c r="AB26">
        <v>344</v>
      </c>
      <c r="AC26">
        <v>6</v>
      </c>
      <c r="AD26">
        <v>338</v>
      </c>
      <c r="AE26">
        <v>23</v>
      </c>
      <c r="AF26">
        <v>23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23</v>
      </c>
      <c r="AQ26">
        <v>10</v>
      </c>
      <c r="AR26">
        <v>8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1</v>
      </c>
      <c r="BA26">
        <v>0</v>
      </c>
      <c r="BB26">
        <v>10</v>
      </c>
      <c r="BC26">
        <v>37</v>
      </c>
      <c r="BD26">
        <v>17</v>
      </c>
      <c r="BE26">
        <v>7</v>
      </c>
      <c r="BF26">
        <v>1</v>
      </c>
      <c r="BG26">
        <v>2</v>
      </c>
      <c r="BH26">
        <v>1</v>
      </c>
      <c r="BI26">
        <v>3</v>
      </c>
      <c r="BJ26">
        <v>0</v>
      </c>
      <c r="BK26">
        <v>1</v>
      </c>
      <c r="BL26">
        <v>4</v>
      </c>
      <c r="BM26">
        <v>1</v>
      </c>
      <c r="BN26">
        <v>37</v>
      </c>
      <c r="BO26">
        <v>110</v>
      </c>
      <c r="BP26">
        <v>93</v>
      </c>
      <c r="BQ26">
        <v>3</v>
      </c>
      <c r="BR26">
        <v>11</v>
      </c>
      <c r="BS26">
        <v>1</v>
      </c>
      <c r="BT26">
        <v>0</v>
      </c>
      <c r="BU26">
        <v>0</v>
      </c>
      <c r="BV26">
        <v>0</v>
      </c>
      <c r="BW26">
        <v>0</v>
      </c>
      <c r="BX26">
        <v>1</v>
      </c>
      <c r="BY26">
        <v>1</v>
      </c>
      <c r="BZ26">
        <v>110</v>
      </c>
      <c r="CA26">
        <v>13</v>
      </c>
      <c r="CB26">
        <v>5</v>
      </c>
      <c r="CC26">
        <v>0</v>
      </c>
      <c r="CD26">
        <v>1</v>
      </c>
      <c r="CE26">
        <v>0</v>
      </c>
      <c r="CF26">
        <v>2</v>
      </c>
      <c r="CG26">
        <v>0</v>
      </c>
      <c r="CH26">
        <v>2</v>
      </c>
      <c r="CI26">
        <v>0</v>
      </c>
      <c r="CJ26">
        <v>0</v>
      </c>
      <c r="CK26">
        <v>3</v>
      </c>
      <c r="CL26">
        <v>13</v>
      </c>
      <c r="CM26">
        <v>3</v>
      </c>
      <c r="CN26">
        <v>2</v>
      </c>
      <c r="CO26">
        <v>0</v>
      </c>
      <c r="CP26">
        <v>0</v>
      </c>
      <c r="CQ26">
        <v>1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3</v>
      </c>
      <c r="CY26">
        <v>21</v>
      </c>
      <c r="CZ26">
        <v>7</v>
      </c>
      <c r="DA26">
        <v>1</v>
      </c>
      <c r="DB26">
        <v>0</v>
      </c>
      <c r="DC26">
        <v>4</v>
      </c>
      <c r="DD26">
        <v>1</v>
      </c>
      <c r="DE26">
        <v>3</v>
      </c>
      <c r="DF26">
        <v>1</v>
      </c>
      <c r="DG26">
        <v>0</v>
      </c>
      <c r="DH26">
        <v>3</v>
      </c>
      <c r="DI26">
        <v>1</v>
      </c>
      <c r="DJ26">
        <v>21</v>
      </c>
      <c r="DK26">
        <v>108</v>
      </c>
      <c r="DL26">
        <v>78</v>
      </c>
      <c r="DM26">
        <v>20</v>
      </c>
      <c r="DN26">
        <v>3</v>
      </c>
      <c r="DO26">
        <v>1</v>
      </c>
      <c r="DP26">
        <v>3</v>
      </c>
      <c r="DQ26">
        <v>1</v>
      </c>
      <c r="DR26">
        <v>1</v>
      </c>
      <c r="DS26">
        <v>0</v>
      </c>
      <c r="DT26">
        <v>0</v>
      </c>
      <c r="DU26">
        <v>1</v>
      </c>
      <c r="DV26">
        <v>108</v>
      </c>
      <c r="DW26">
        <v>9</v>
      </c>
      <c r="DX26">
        <v>1</v>
      </c>
      <c r="DY26">
        <v>1</v>
      </c>
      <c r="DZ26">
        <v>0</v>
      </c>
      <c r="EA26">
        <v>6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1</v>
      </c>
      <c r="EH26">
        <v>9</v>
      </c>
      <c r="EI26">
        <v>2</v>
      </c>
      <c r="EJ26">
        <v>0</v>
      </c>
      <c r="EK26">
        <v>2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2</v>
      </c>
      <c r="ES26">
        <v>1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1</v>
      </c>
      <c r="EZ26">
        <v>0</v>
      </c>
      <c r="FA26">
        <v>0</v>
      </c>
      <c r="FB26">
        <v>0</v>
      </c>
      <c r="FC26">
        <v>0</v>
      </c>
      <c r="FD26">
        <v>1</v>
      </c>
      <c r="FE26">
        <v>1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1</v>
      </c>
      <c r="FP26">
        <v>1</v>
      </c>
    </row>
    <row r="27" spans="1:172" ht="14.25">
      <c r="A27">
        <v>22</v>
      </c>
      <c r="B27" t="str">
        <f t="shared" si="0"/>
        <v>100201</v>
      </c>
      <c r="C27" t="str">
        <f t="shared" si="1"/>
        <v>m. Kutno</v>
      </c>
      <c r="D27" t="str">
        <f t="shared" si="2"/>
        <v>kutnowski</v>
      </c>
      <c r="E27" t="str">
        <f t="shared" si="3"/>
        <v>łódzkie</v>
      </c>
      <c r="F27">
        <v>22</v>
      </c>
      <c r="G27" t="str">
        <f>"Dom Pomocy Społecznej, ul. Oporowska 27, 99-300 Kutno"</f>
        <v>Dom Pomocy Społecznej, ul. Oporowska 27, 99-300 Kutno</v>
      </c>
      <c r="H27">
        <v>83</v>
      </c>
      <c r="I27">
        <v>83</v>
      </c>
      <c r="J27">
        <v>0</v>
      </c>
      <c r="K27">
        <v>84</v>
      </c>
      <c r="L27">
        <v>60</v>
      </c>
      <c r="M27">
        <v>24</v>
      </c>
      <c r="N27">
        <v>24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24</v>
      </c>
      <c r="Z27">
        <v>0</v>
      </c>
      <c r="AA27">
        <v>0</v>
      </c>
      <c r="AB27">
        <v>24</v>
      </c>
      <c r="AC27">
        <v>4</v>
      </c>
      <c r="AD27">
        <v>20</v>
      </c>
      <c r="AE27">
        <v>11</v>
      </c>
      <c r="AF27">
        <v>3</v>
      </c>
      <c r="AG27">
        <v>2</v>
      </c>
      <c r="AH27">
        <v>3</v>
      </c>
      <c r="AI27">
        <v>2</v>
      </c>
      <c r="AJ27">
        <v>0</v>
      </c>
      <c r="AK27">
        <v>0</v>
      </c>
      <c r="AL27">
        <v>1</v>
      </c>
      <c r="AM27">
        <v>0</v>
      </c>
      <c r="AN27">
        <v>0</v>
      </c>
      <c r="AO27">
        <v>0</v>
      </c>
      <c r="AP27">
        <v>11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3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2</v>
      </c>
      <c r="BM27">
        <v>0</v>
      </c>
      <c r="BN27">
        <v>3</v>
      </c>
      <c r="BO27">
        <v>1</v>
      </c>
      <c r="BP27">
        <v>0</v>
      </c>
      <c r="BQ27">
        <v>0</v>
      </c>
      <c r="BR27">
        <v>0</v>
      </c>
      <c r="BS27">
        <v>1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</v>
      </c>
      <c r="CA27">
        <v>1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1</v>
      </c>
      <c r="CJ27">
        <v>0</v>
      </c>
      <c r="CK27">
        <v>0</v>
      </c>
      <c r="CL27">
        <v>1</v>
      </c>
      <c r="CM27">
        <v>1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1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1</v>
      </c>
      <c r="DL27">
        <v>0</v>
      </c>
      <c r="DM27">
        <v>0</v>
      </c>
      <c r="DN27">
        <v>1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1</v>
      </c>
      <c r="DW27">
        <v>1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1</v>
      </c>
      <c r="EG27">
        <v>0</v>
      </c>
      <c r="EH27">
        <v>1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1</v>
      </c>
      <c r="FF27">
        <v>0</v>
      </c>
      <c r="FG27">
        <v>1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1</v>
      </c>
    </row>
    <row r="28" spans="1:172" ht="14.25">
      <c r="A28">
        <v>23</v>
      </c>
      <c r="B28" t="str">
        <f t="shared" si="0"/>
        <v>100201</v>
      </c>
      <c r="C28" t="str">
        <f t="shared" si="1"/>
        <v>m. Kutno</v>
      </c>
      <c r="D28" t="str">
        <f t="shared" si="2"/>
        <v>kutnowski</v>
      </c>
      <c r="E28" t="str">
        <f t="shared" si="3"/>
        <v>łódzkie</v>
      </c>
      <c r="F28">
        <v>23</v>
      </c>
      <c r="G28" t="str">
        <f>"Dom Pomocy Społecznej, ul. Bolesława Krzywoustego 11, 99-300 Kutno"</f>
        <v>Dom Pomocy Społecznej, ul. Bolesława Krzywoustego 11, 99-300 Kutno</v>
      </c>
      <c r="H28">
        <v>64</v>
      </c>
      <c r="I28">
        <v>64</v>
      </c>
      <c r="J28">
        <v>0</v>
      </c>
      <c r="K28">
        <v>64</v>
      </c>
      <c r="L28">
        <v>29</v>
      </c>
      <c r="M28">
        <v>35</v>
      </c>
      <c r="N28">
        <v>35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35</v>
      </c>
      <c r="Z28">
        <v>0</v>
      </c>
      <c r="AA28">
        <v>0</v>
      </c>
      <c r="AB28">
        <v>35</v>
      </c>
      <c r="AC28">
        <v>5</v>
      </c>
      <c r="AD28">
        <v>30</v>
      </c>
      <c r="AE28">
        <v>12</v>
      </c>
      <c r="AF28">
        <v>3</v>
      </c>
      <c r="AG28">
        <v>2</v>
      </c>
      <c r="AH28">
        <v>3</v>
      </c>
      <c r="AI28">
        <v>1</v>
      </c>
      <c r="AJ28">
        <v>1</v>
      </c>
      <c r="AK28">
        <v>0</v>
      </c>
      <c r="AL28">
        <v>0</v>
      </c>
      <c r="AM28">
        <v>1</v>
      </c>
      <c r="AN28">
        <v>0</v>
      </c>
      <c r="AO28">
        <v>1</v>
      </c>
      <c r="AP28">
        <v>12</v>
      </c>
      <c r="AQ28">
        <v>2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X28">
        <v>0</v>
      </c>
      <c r="AY28">
        <v>0</v>
      </c>
      <c r="AZ28">
        <v>0</v>
      </c>
      <c r="BA28">
        <v>0</v>
      </c>
      <c r="BB28">
        <v>2</v>
      </c>
      <c r="BC28">
        <v>1</v>
      </c>
      <c r="BD28">
        <v>0</v>
      </c>
      <c r="BE28">
        <v>0</v>
      </c>
      <c r="BF28">
        <v>0</v>
      </c>
      <c r="BG28">
        <v>1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1</v>
      </c>
      <c r="BO28">
        <v>7</v>
      </c>
      <c r="BP28">
        <v>1</v>
      </c>
      <c r="BQ28">
        <v>1</v>
      </c>
      <c r="BR28">
        <v>3</v>
      </c>
      <c r="BS28">
        <v>0</v>
      </c>
      <c r="BT28">
        <v>1</v>
      </c>
      <c r="BU28">
        <v>0</v>
      </c>
      <c r="BV28">
        <v>0</v>
      </c>
      <c r="BW28">
        <v>0</v>
      </c>
      <c r="BX28">
        <v>1</v>
      </c>
      <c r="BY28">
        <v>0</v>
      </c>
      <c r="BZ28">
        <v>7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1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1</v>
      </c>
      <c r="DG28">
        <v>0</v>
      </c>
      <c r="DH28">
        <v>0</v>
      </c>
      <c r="DI28">
        <v>0</v>
      </c>
      <c r="DJ28">
        <v>1</v>
      </c>
      <c r="DK28">
        <v>5</v>
      </c>
      <c r="DL28">
        <v>0</v>
      </c>
      <c r="DM28">
        <v>5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5</v>
      </c>
      <c r="DW28">
        <v>1</v>
      </c>
      <c r="DX28">
        <v>0</v>
      </c>
      <c r="DY28">
        <v>1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1</v>
      </c>
      <c r="EI28">
        <v>1</v>
      </c>
      <c r="EJ28">
        <v>0</v>
      </c>
      <c r="EK28">
        <v>1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</row>
    <row r="29" spans="1:172" ht="14.25">
      <c r="A29">
        <v>24</v>
      </c>
      <c r="B29" t="str">
        <f t="shared" si="0"/>
        <v>100201</v>
      </c>
      <c r="C29" t="str">
        <f t="shared" si="1"/>
        <v>m. Kutno</v>
      </c>
      <c r="D29" t="str">
        <f t="shared" si="2"/>
        <v>kutnowski</v>
      </c>
      <c r="E29" t="str">
        <f t="shared" si="3"/>
        <v>łódzkie</v>
      </c>
      <c r="F29">
        <v>24</v>
      </c>
      <c r="G29" t="str">
        <f>"Dom Pomocy Społecznej prow. Przez Zgrom. SS Albertynek, ul. Jana III Sobieskiego 49, 99-300 Kutno"</f>
        <v>Dom Pomocy Społecznej prow. Przez Zgrom. SS Albertynek, ul. Jana III Sobieskiego 49, 99-300 Kutno</v>
      </c>
      <c r="H29">
        <v>54</v>
      </c>
      <c r="I29">
        <v>54</v>
      </c>
      <c r="J29">
        <v>0</v>
      </c>
      <c r="K29">
        <v>41</v>
      </c>
      <c r="L29">
        <v>18</v>
      </c>
      <c r="M29">
        <v>23</v>
      </c>
      <c r="N29">
        <v>23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23</v>
      </c>
      <c r="Z29">
        <v>0</v>
      </c>
      <c r="AA29">
        <v>0</v>
      </c>
      <c r="AB29">
        <v>23</v>
      </c>
      <c r="AC29">
        <v>1</v>
      </c>
      <c r="AD29">
        <v>22</v>
      </c>
      <c r="AE29">
        <v>6</v>
      </c>
      <c r="AF29">
        <v>5</v>
      </c>
      <c r="AG29">
        <v>0</v>
      </c>
      <c r="AH29">
        <v>0</v>
      </c>
      <c r="AI29">
        <v>0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6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15</v>
      </c>
      <c r="BP29">
        <v>7</v>
      </c>
      <c r="BQ29">
        <v>0</v>
      </c>
      <c r="BR29">
        <v>1</v>
      </c>
      <c r="BS29">
        <v>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3</v>
      </c>
      <c r="BZ29">
        <v>15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1</v>
      </c>
      <c r="FF29">
        <v>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1</v>
      </c>
    </row>
    <row r="30" spans="1:172" ht="14.25">
      <c r="A30">
        <v>25</v>
      </c>
      <c r="B30" t="str">
        <f t="shared" si="0"/>
        <v>100201</v>
      </c>
      <c r="C30" t="str">
        <f t="shared" si="1"/>
        <v>m. Kutno</v>
      </c>
      <c r="D30" t="str">
        <f t="shared" si="2"/>
        <v>kutnowski</v>
      </c>
      <c r="E30" t="str">
        <f t="shared" si="3"/>
        <v>łódzkie</v>
      </c>
      <c r="F30">
        <v>25</v>
      </c>
      <c r="G30" t="s">
        <v>41</v>
      </c>
      <c r="H30">
        <v>173</v>
      </c>
      <c r="I30">
        <v>173</v>
      </c>
      <c r="J30">
        <v>0</v>
      </c>
      <c r="K30">
        <v>230</v>
      </c>
      <c r="L30">
        <v>224</v>
      </c>
      <c r="M30">
        <v>6</v>
      </c>
      <c r="N30">
        <v>6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6</v>
      </c>
      <c r="Z30">
        <v>0</v>
      </c>
      <c r="AA30">
        <v>0</v>
      </c>
      <c r="AB30">
        <v>6</v>
      </c>
      <c r="AC30">
        <v>1</v>
      </c>
      <c r="AD30">
        <v>5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0</v>
      </c>
      <c r="BE30">
        <v>0</v>
      </c>
      <c r="BF30">
        <v>0</v>
      </c>
      <c r="BG30">
        <v>1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1</v>
      </c>
      <c r="BO30">
        <v>4</v>
      </c>
      <c r="BP30">
        <v>4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4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</row>
    <row r="31" spans="1:172" ht="14.25">
      <c r="A31">
        <v>26</v>
      </c>
      <c r="B31" t="str">
        <f aca="true" t="shared" si="4" ref="B31:B37">"100202"</f>
        <v>100202</v>
      </c>
      <c r="C31" t="str">
        <f aca="true" t="shared" si="5" ref="C31:C37">"Bedlno"</f>
        <v>Bedlno</v>
      </c>
      <c r="D31" t="str">
        <f t="shared" si="2"/>
        <v>kutnowski</v>
      </c>
      <c r="E31" t="str">
        <f t="shared" si="3"/>
        <v>łódzkie</v>
      </c>
      <c r="F31">
        <v>1</v>
      </c>
      <c r="G31" t="str">
        <f>"Gminny Ośrodek Kultury, Bedlno 28A, 99-311 Bedlno"</f>
        <v>Gminny Ośrodek Kultury, Bedlno 28A, 99-311 Bedlno</v>
      </c>
      <c r="H31">
        <v>1253</v>
      </c>
      <c r="I31">
        <v>1253</v>
      </c>
      <c r="J31">
        <v>0</v>
      </c>
      <c r="K31">
        <v>880</v>
      </c>
      <c r="L31">
        <v>685</v>
      </c>
      <c r="M31">
        <v>195</v>
      </c>
      <c r="N31">
        <v>195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195</v>
      </c>
      <c r="Z31">
        <v>0</v>
      </c>
      <c r="AA31">
        <v>0</v>
      </c>
      <c r="AB31">
        <v>195</v>
      </c>
      <c r="AC31">
        <v>17</v>
      </c>
      <c r="AD31">
        <v>178</v>
      </c>
      <c r="AE31">
        <v>9</v>
      </c>
      <c r="AF31">
        <v>8</v>
      </c>
      <c r="AG31">
        <v>0</v>
      </c>
      <c r="AH31">
        <v>0</v>
      </c>
      <c r="AI31">
        <v>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9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10</v>
      </c>
      <c r="BD31">
        <v>6</v>
      </c>
      <c r="BE31">
        <v>0</v>
      </c>
      <c r="BF31">
        <v>0</v>
      </c>
      <c r="BG31">
        <v>1</v>
      </c>
      <c r="BH31">
        <v>0</v>
      </c>
      <c r="BI31">
        <v>0</v>
      </c>
      <c r="BJ31">
        <v>0</v>
      </c>
      <c r="BK31">
        <v>0</v>
      </c>
      <c r="BL31">
        <v>2</v>
      </c>
      <c r="BM31">
        <v>1</v>
      </c>
      <c r="BN31">
        <v>10</v>
      </c>
      <c r="BO31">
        <v>75</v>
      </c>
      <c r="BP31">
        <v>71</v>
      </c>
      <c r="BQ31">
        <v>1</v>
      </c>
      <c r="BR31">
        <v>2</v>
      </c>
      <c r="BS31">
        <v>1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75</v>
      </c>
      <c r="CA31">
        <v>2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2</v>
      </c>
      <c r="CL31">
        <v>2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21</v>
      </c>
      <c r="CZ31">
        <v>13</v>
      </c>
      <c r="DA31">
        <v>3</v>
      </c>
      <c r="DB31">
        <v>2</v>
      </c>
      <c r="DC31">
        <v>0</v>
      </c>
      <c r="DD31">
        <v>0</v>
      </c>
      <c r="DE31">
        <v>0</v>
      </c>
      <c r="DF31">
        <v>1</v>
      </c>
      <c r="DG31">
        <v>1</v>
      </c>
      <c r="DH31">
        <v>1</v>
      </c>
      <c r="DI31">
        <v>0</v>
      </c>
      <c r="DJ31">
        <v>21</v>
      </c>
      <c r="DK31">
        <v>20</v>
      </c>
      <c r="DL31">
        <v>9</v>
      </c>
      <c r="DM31">
        <v>6</v>
      </c>
      <c r="DN31">
        <v>0</v>
      </c>
      <c r="DO31">
        <v>1</v>
      </c>
      <c r="DP31">
        <v>3</v>
      </c>
      <c r="DQ31">
        <v>1</v>
      </c>
      <c r="DR31">
        <v>0</v>
      </c>
      <c r="DS31">
        <v>0</v>
      </c>
      <c r="DT31">
        <v>0</v>
      </c>
      <c r="DU31">
        <v>0</v>
      </c>
      <c r="DV31">
        <v>20</v>
      </c>
      <c r="DW31">
        <v>34</v>
      </c>
      <c r="DX31">
        <v>5</v>
      </c>
      <c r="DY31">
        <v>2</v>
      </c>
      <c r="DZ31">
        <v>1</v>
      </c>
      <c r="EA31">
        <v>20</v>
      </c>
      <c r="EB31">
        <v>1</v>
      </c>
      <c r="EC31">
        <v>0</v>
      </c>
      <c r="ED31">
        <v>2</v>
      </c>
      <c r="EE31">
        <v>0</v>
      </c>
      <c r="EF31">
        <v>3</v>
      </c>
      <c r="EG31">
        <v>0</v>
      </c>
      <c r="EH31">
        <v>34</v>
      </c>
      <c r="EI31">
        <v>1</v>
      </c>
      <c r="EJ31">
        <v>0</v>
      </c>
      <c r="EK31">
        <v>1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1</v>
      </c>
      <c r="ES31">
        <v>6</v>
      </c>
      <c r="ET31">
        <v>1</v>
      </c>
      <c r="EU31">
        <v>1</v>
      </c>
      <c r="EV31">
        <v>1</v>
      </c>
      <c r="EW31">
        <v>2</v>
      </c>
      <c r="EX31">
        <v>0</v>
      </c>
      <c r="EY31">
        <v>0</v>
      </c>
      <c r="EZ31">
        <v>0</v>
      </c>
      <c r="FA31">
        <v>0</v>
      </c>
      <c r="FB31">
        <v>1</v>
      </c>
      <c r="FC31">
        <v>0</v>
      </c>
      <c r="FD31">
        <v>6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</row>
    <row r="32" spans="1:172" ht="14.25">
      <c r="A32">
        <v>27</v>
      </c>
      <c r="B32" t="str">
        <f t="shared" si="4"/>
        <v>100202</v>
      </c>
      <c r="C32" t="str">
        <f t="shared" si="5"/>
        <v>Bedlno</v>
      </c>
      <c r="D32" t="str">
        <f t="shared" si="2"/>
        <v>kutnowski</v>
      </c>
      <c r="E32" t="str">
        <f t="shared" si="3"/>
        <v>łódzkie</v>
      </c>
      <c r="F32">
        <v>2</v>
      </c>
      <c r="G32" t="str">
        <f>"Szkoła Podstawowa im. 37 Łęczyckiego Pułku Piechoty im. ks. J. Poniatowskiego, Plecka Dąbrowa 56, 99-311 Bedlno"</f>
        <v>Szkoła Podstawowa im. 37 Łęczyckiego Pułku Piechoty im. ks. J. Poniatowskiego, Plecka Dąbrowa 56, 99-311 Bedlno</v>
      </c>
      <c r="H32">
        <v>1330</v>
      </c>
      <c r="I32">
        <v>1330</v>
      </c>
      <c r="J32">
        <v>0</v>
      </c>
      <c r="K32">
        <v>930</v>
      </c>
      <c r="L32">
        <v>736</v>
      </c>
      <c r="M32">
        <v>194</v>
      </c>
      <c r="N32">
        <v>194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194</v>
      </c>
      <c r="Z32">
        <v>0</v>
      </c>
      <c r="AA32">
        <v>0</v>
      </c>
      <c r="AB32">
        <v>194</v>
      </c>
      <c r="AC32">
        <v>9</v>
      </c>
      <c r="AD32">
        <v>185</v>
      </c>
      <c r="AE32">
        <v>7</v>
      </c>
      <c r="AF32">
        <v>6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7</v>
      </c>
      <c r="AQ32">
        <v>5</v>
      </c>
      <c r="AR32">
        <v>1</v>
      </c>
      <c r="AS32">
        <v>2</v>
      </c>
      <c r="AT32">
        <v>0</v>
      </c>
      <c r="AU32">
        <v>1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5</v>
      </c>
      <c r="BC32">
        <v>10</v>
      </c>
      <c r="BD32">
        <v>6</v>
      </c>
      <c r="BE32">
        <v>1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2</v>
      </c>
      <c r="BN32">
        <v>10</v>
      </c>
      <c r="BO32">
        <v>67</v>
      </c>
      <c r="BP32">
        <v>54</v>
      </c>
      <c r="BQ32">
        <v>5</v>
      </c>
      <c r="BR32">
        <v>2</v>
      </c>
      <c r="BS32">
        <v>2</v>
      </c>
      <c r="BT32">
        <v>3</v>
      </c>
      <c r="BU32">
        <v>1</v>
      </c>
      <c r="BV32">
        <v>0</v>
      </c>
      <c r="BW32">
        <v>0</v>
      </c>
      <c r="BX32">
        <v>0</v>
      </c>
      <c r="BY32">
        <v>0</v>
      </c>
      <c r="BZ32">
        <v>67</v>
      </c>
      <c r="CA32">
        <v>3</v>
      </c>
      <c r="CB32">
        <v>2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1</v>
      </c>
      <c r="CJ32">
        <v>0</v>
      </c>
      <c r="CK32">
        <v>0</v>
      </c>
      <c r="CL32">
        <v>3</v>
      </c>
      <c r="CM32">
        <v>2</v>
      </c>
      <c r="CN32">
        <v>1</v>
      </c>
      <c r="CO32">
        <v>1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2</v>
      </c>
      <c r="CY32">
        <v>19</v>
      </c>
      <c r="CZ32">
        <v>14</v>
      </c>
      <c r="DA32">
        <v>2</v>
      </c>
      <c r="DB32">
        <v>0</v>
      </c>
      <c r="DC32">
        <v>1</v>
      </c>
      <c r="DD32">
        <v>0</v>
      </c>
      <c r="DE32">
        <v>2</v>
      </c>
      <c r="DF32">
        <v>0</v>
      </c>
      <c r="DG32">
        <v>0</v>
      </c>
      <c r="DH32">
        <v>0</v>
      </c>
      <c r="DI32">
        <v>0</v>
      </c>
      <c r="DJ32">
        <v>19</v>
      </c>
      <c r="DK32">
        <v>11</v>
      </c>
      <c r="DL32">
        <v>9</v>
      </c>
      <c r="DM32">
        <v>0</v>
      </c>
      <c r="DN32">
        <v>0</v>
      </c>
      <c r="DO32">
        <v>0</v>
      </c>
      <c r="DP32">
        <v>1</v>
      </c>
      <c r="DQ32">
        <v>0</v>
      </c>
      <c r="DR32">
        <v>0</v>
      </c>
      <c r="DS32">
        <v>0</v>
      </c>
      <c r="DT32">
        <v>1</v>
      </c>
      <c r="DU32">
        <v>0</v>
      </c>
      <c r="DV32">
        <v>11</v>
      </c>
      <c r="DW32">
        <v>59</v>
      </c>
      <c r="DX32">
        <v>10</v>
      </c>
      <c r="DY32">
        <v>2</v>
      </c>
      <c r="DZ32">
        <v>0</v>
      </c>
      <c r="EA32">
        <v>33</v>
      </c>
      <c r="EB32">
        <v>1</v>
      </c>
      <c r="EC32">
        <v>0</v>
      </c>
      <c r="ED32">
        <v>5</v>
      </c>
      <c r="EE32">
        <v>0</v>
      </c>
      <c r="EF32">
        <v>5</v>
      </c>
      <c r="EG32">
        <v>3</v>
      </c>
      <c r="EH32">
        <v>59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2</v>
      </c>
      <c r="ET32">
        <v>0</v>
      </c>
      <c r="EU32">
        <v>2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2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</row>
    <row r="33" spans="1:172" ht="14.25">
      <c r="A33">
        <v>28</v>
      </c>
      <c r="B33" t="str">
        <f t="shared" si="4"/>
        <v>100202</v>
      </c>
      <c r="C33" t="str">
        <f t="shared" si="5"/>
        <v>Bedlno</v>
      </c>
      <c r="D33" t="str">
        <f t="shared" si="2"/>
        <v>kutnowski</v>
      </c>
      <c r="E33" t="str">
        <f t="shared" si="3"/>
        <v>łódzkie</v>
      </c>
      <c r="F33">
        <v>3</v>
      </c>
      <c r="G33" t="str">
        <f>"Szkoła Podstawowa im. Bohaterów Walk nad Bzurą, Szewce Nadolne 14, 99-311 Bedlno"</f>
        <v>Szkoła Podstawowa im. Bohaterów Walk nad Bzurą, Szewce Nadolne 14, 99-311 Bedlno</v>
      </c>
      <c r="H33">
        <v>579</v>
      </c>
      <c r="I33">
        <v>579</v>
      </c>
      <c r="J33">
        <v>0</v>
      </c>
      <c r="K33">
        <v>410</v>
      </c>
      <c r="L33">
        <v>342</v>
      </c>
      <c r="M33">
        <v>68</v>
      </c>
      <c r="N33">
        <v>68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68</v>
      </c>
      <c r="Z33">
        <v>0</v>
      </c>
      <c r="AA33">
        <v>0</v>
      </c>
      <c r="AB33">
        <v>68</v>
      </c>
      <c r="AC33">
        <v>1</v>
      </c>
      <c r="AD33">
        <v>67</v>
      </c>
      <c r="AE33">
        <v>4</v>
      </c>
      <c r="AF33">
        <v>4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4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25</v>
      </c>
      <c r="BP33">
        <v>22</v>
      </c>
      <c r="BQ33">
        <v>1</v>
      </c>
      <c r="BR33">
        <v>1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</v>
      </c>
      <c r="BZ33">
        <v>25</v>
      </c>
      <c r="CA33">
        <v>1</v>
      </c>
      <c r="CB33">
        <v>1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1</v>
      </c>
      <c r="CM33">
        <v>3</v>
      </c>
      <c r="CN33">
        <v>2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3</v>
      </c>
      <c r="CY33">
        <v>4</v>
      </c>
      <c r="CZ33">
        <v>1</v>
      </c>
      <c r="DA33">
        <v>1</v>
      </c>
      <c r="DB33">
        <v>0</v>
      </c>
      <c r="DC33">
        <v>1</v>
      </c>
      <c r="DD33">
        <v>0</v>
      </c>
      <c r="DE33">
        <v>0</v>
      </c>
      <c r="DF33">
        <v>0</v>
      </c>
      <c r="DG33">
        <v>1</v>
      </c>
      <c r="DH33">
        <v>0</v>
      </c>
      <c r="DI33">
        <v>0</v>
      </c>
      <c r="DJ33">
        <v>4</v>
      </c>
      <c r="DK33">
        <v>4</v>
      </c>
      <c r="DL33">
        <v>3</v>
      </c>
      <c r="DM33">
        <v>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4</v>
      </c>
      <c r="DW33">
        <v>26</v>
      </c>
      <c r="DX33">
        <v>10</v>
      </c>
      <c r="DY33">
        <v>0</v>
      </c>
      <c r="DZ33">
        <v>0</v>
      </c>
      <c r="EA33">
        <v>8</v>
      </c>
      <c r="EB33">
        <v>0</v>
      </c>
      <c r="EC33">
        <v>0</v>
      </c>
      <c r="ED33">
        <v>0</v>
      </c>
      <c r="EE33">
        <v>0</v>
      </c>
      <c r="EF33">
        <v>8</v>
      </c>
      <c r="EG33">
        <v>0</v>
      </c>
      <c r="EH33">
        <v>26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</row>
    <row r="34" spans="1:172" ht="14.25">
      <c r="A34">
        <v>29</v>
      </c>
      <c r="B34" t="str">
        <f t="shared" si="4"/>
        <v>100202</v>
      </c>
      <c r="C34" t="str">
        <f t="shared" si="5"/>
        <v>Bedlno</v>
      </c>
      <c r="D34" t="str">
        <f t="shared" si="2"/>
        <v>kutnowski</v>
      </c>
      <c r="E34" t="str">
        <f t="shared" si="3"/>
        <v>łódzkie</v>
      </c>
      <c r="F34">
        <v>4</v>
      </c>
      <c r="G34" t="str">
        <f>"Szkoła Podstawowa im. Marii Konopnickiej, Żeronice 37A, 99-311 Bedlno"</f>
        <v>Szkoła Podstawowa im. Marii Konopnickiej, Żeronice 37A, 99-311 Bedlno</v>
      </c>
      <c r="H34">
        <v>895</v>
      </c>
      <c r="I34">
        <v>895</v>
      </c>
      <c r="J34">
        <v>0</v>
      </c>
      <c r="K34">
        <v>630</v>
      </c>
      <c r="L34">
        <v>514</v>
      </c>
      <c r="M34">
        <v>116</v>
      </c>
      <c r="N34">
        <v>116</v>
      </c>
      <c r="O34">
        <v>0</v>
      </c>
      <c r="P34">
        <v>0</v>
      </c>
      <c r="Q34">
        <v>2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116</v>
      </c>
      <c r="Z34">
        <v>0</v>
      </c>
      <c r="AA34">
        <v>0</v>
      </c>
      <c r="AB34">
        <v>116</v>
      </c>
      <c r="AC34">
        <v>6</v>
      </c>
      <c r="AD34">
        <v>110</v>
      </c>
      <c r="AE34">
        <v>12</v>
      </c>
      <c r="AF34">
        <v>10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2</v>
      </c>
      <c r="AM34">
        <v>0</v>
      </c>
      <c r="AN34">
        <v>0</v>
      </c>
      <c r="AO34">
        <v>0</v>
      </c>
      <c r="AP34">
        <v>12</v>
      </c>
      <c r="AQ34">
        <v>1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4</v>
      </c>
      <c r="BD34">
        <v>2</v>
      </c>
      <c r="BE34">
        <v>2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4</v>
      </c>
      <c r="BO34">
        <v>46</v>
      </c>
      <c r="BP34">
        <v>39</v>
      </c>
      <c r="BQ34">
        <v>2</v>
      </c>
      <c r="BR34">
        <v>2</v>
      </c>
      <c r="BS34">
        <v>3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46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7</v>
      </c>
      <c r="CZ34">
        <v>5</v>
      </c>
      <c r="DA34">
        <v>1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1</v>
      </c>
      <c r="DJ34">
        <v>7</v>
      </c>
      <c r="DK34">
        <v>1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1</v>
      </c>
      <c r="DV34">
        <v>1</v>
      </c>
      <c r="DW34">
        <v>37</v>
      </c>
      <c r="DX34">
        <v>9</v>
      </c>
      <c r="DY34">
        <v>2</v>
      </c>
      <c r="DZ34">
        <v>0</v>
      </c>
      <c r="EA34">
        <v>13</v>
      </c>
      <c r="EB34">
        <v>0</v>
      </c>
      <c r="EC34">
        <v>3</v>
      </c>
      <c r="ED34">
        <v>4</v>
      </c>
      <c r="EE34">
        <v>0</v>
      </c>
      <c r="EF34">
        <v>4</v>
      </c>
      <c r="EG34">
        <v>2</v>
      </c>
      <c r="EH34">
        <v>37</v>
      </c>
      <c r="EI34">
        <v>2</v>
      </c>
      <c r="EJ34">
        <v>0</v>
      </c>
      <c r="EK34">
        <v>2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2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</row>
    <row r="35" spans="1:172" ht="14.25">
      <c r="A35">
        <v>30</v>
      </c>
      <c r="B35" t="str">
        <f t="shared" si="4"/>
        <v>100202</v>
      </c>
      <c r="C35" t="str">
        <f t="shared" si="5"/>
        <v>Bedlno</v>
      </c>
      <c r="D35" t="str">
        <f t="shared" si="2"/>
        <v>kutnowski</v>
      </c>
      <c r="E35" t="str">
        <f t="shared" si="3"/>
        <v>łódzkie</v>
      </c>
      <c r="F35">
        <v>5</v>
      </c>
      <c r="G35" t="str">
        <f>"Szkoła Podstawowa im. Kornela Makuszyńskiego, Pniewo 21, 99-311 Bedlno"</f>
        <v>Szkoła Podstawowa im. Kornela Makuszyńskiego, Pniewo 21, 99-311 Bedlno</v>
      </c>
      <c r="H35">
        <v>595</v>
      </c>
      <c r="I35">
        <v>595</v>
      </c>
      <c r="J35">
        <v>0</v>
      </c>
      <c r="K35">
        <v>420</v>
      </c>
      <c r="L35">
        <v>338</v>
      </c>
      <c r="M35">
        <v>82</v>
      </c>
      <c r="N35">
        <v>82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82</v>
      </c>
      <c r="Z35">
        <v>0</v>
      </c>
      <c r="AA35">
        <v>0</v>
      </c>
      <c r="AB35">
        <v>82</v>
      </c>
      <c r="AC35">
        <v>0</v>
      </c>
      <c r="AD35">
        <v>82</v>
      </c>
      <c r="AE35">
        <v>1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1</v>
      </c>
      <c r="AQ35">
        <v>3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0</v>
      </c>
      <c r="AX35">
        <v>0</v>
      </c>
      <c r="AY35">
        <v>0</v>
      </c>
      <c r="AZ35">
        <v>2</v>
      </c>
      <c r="BA35">
        <v>0</v>
      </c>
      <c r="BB35">
        <v>3</v>
      </c>
      <c r="BC35">
        <v>5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1</v>
      </c>
      <c r="BJ35">
        <v>0</v>
      </c>
      <c r="BK35">
        <v>0</v>
      </c>
      <c r="BL35">
        <v>4</v>
      </c>
      <c r="BM35">
        <v>0</v>
      </c>
      <c r="BN35">
        <v>5</v>
      </c>
      <c r="BO35">
        <v>22</v>
      </c>
      <c r="BP35">
        <v>20</v>
      </c>
      <c r="BQ35">
        <v>1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1</v>
      </c>
      <c r="BZ35">
        <v>22</v>
      </c>
      <c r="CA35">
        <v>4</v>
      </c>
      <c r="CB35">
        <v>1</v>
      </c>
      <c r="CC35">
        <v>1</v>
      </c>
      <c r="CD35">
        <v>0</v>
      </c>
      <c r="CE35">
        <v>0</v>
      </c>
      <c r="CF35">
        <v>0</v>
      </c>
      <c r="CG35">
        <v>2</v>
      </c>
      <c r="CH35">
        <v>0</v>
      </c>
      <c r="CI35">
        <v>0</v>
      </c>
      <c r="CJ35">
        <v>0</v>
      </c>
      <c r="CK35">
        <v>0</v>
      </c>
      <c r="CL35">
        <v>4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5</v>
      </c>
      <c r="CZ35">
        <v>5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5</v>
      </c>
      <c r="DK35">
        <v>17</v>
      </c>
      <c r="DL35">
        <v>11</v>
      </c>
      <c r="DM35">
        <v>2</v>
      </c>
      <c r="DN35">
        <v>0</v>
      </c>
      <c r="DO35">
        <v>1</v>
      </c>
      <c r="DP35">
        <v>0</v>
      </c>
      <c r="DQ35">
        <v>0</v>
      </c>
      <c r="DR35">
        <v>0</v>
      </c>
      <c r="DS35">
        <v>3</v>
      </c>
      <c r="DT35">
        <v>0</v>
      </c>
      <c r="DU35">
        <v>0</v>
      </c>
      <c r="DV35">
        <v>17</v>
      </c>
      <c r="DW35">
        <v>25</v>
      </c>
      <c r="DX35">
        <v>1</v>
      </c>
      <c r="DY35">
        <v>1</v>
      </c>
      <c r="DZ35">
        <v>1</v>
      </c>
      <c r="EA35">
        <v>16</v>
      </c>
      <c r="EB35">
        <v>0</v>
      </c>
      <c r="EC35">
        <v>0</v>
      </c>
      <c r="ED35">
        <v>1</v>
      </c>
      <c r="EE35">
        <v>0</v>
      </c>
      <c r="EF35">
        <v>3</v>
      </c>
      <c r="EG35">
        <v>2</v>
      </c>
      <c r="EH35">
        <v>25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</row>
    <row r="36" spans="1:172" ht="14.25">
      <c r="A36">
        <v>31</v>
      </c>
      <c r="B36" t="str">
        <f t="shared" si="4"/>
        <v>100202</v>
      </c>
      <c r="C36" t="str">
        <f t="shared" si="5"/>
        <v>Bedlno</v>
      </c>
      <c r="D36" t="str">
        <f t="shared" si="2"/>
        <v>kutnowski</v>
      </c>
      <c r="E36" t="str">
        <f t="shared" si="3"/>
        <v>łódzkie</v>
      </c>
      <c r="F36">
        <v>6</v>
      </c>
      <c r="G36" t="str">
        <f>"Dom Pomocy Społecznej, Pniewo 91, 99-311 Bedlno"</f>
        <v>Dom Pomocy Społecznej, Pniewo 91, 99-311 Bedlno</v>
      </c>
      <c r="H36">
        <v>61</v>
      </c>
      <c r="I36">
        <v>61</v>
      </c>
      <c r="J36">
        <v>0</v>
      </c>
      <c r="K36">
        <v>52</v>
      </c>
      <c r="L36">
        <v>30</v>
      </c>
      <c r="M36">
        <v>22</v>
      </c>
      <c r="N36">
        <v>22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22</v>
      </c>
      <c r="Z36">
        <v>0</v>
      </c>
      <c r="AA36">
        <v>0</v>
      </c>
      <c r="AB36">
        <v>22</v>
      </c>
      <c r="AC36">
        <v>1</v>
      </c>
      <c r="AD36">
        <v>21</v>
      </c>
      <c r="AE36">
        <v>5</v>
      </c>
      <c r="AF36">
        <v>3</v>
      </c>
      <c r="AG36">
        <v>0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1</v>
      </c>
      <c r="AO36">
        <v>0</v>
      </c>
      <c r="AP36">
        <v>5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1</v>
      </c>
      <c r="BD36">
        <v>1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1</v>
      </c>
      <c r="BO36">
        <v>11</v>
      </c>
      <c r="BP36">
        <v>7</v>
      </c>
      <c r="BQ36">
        <v>0</v>
      </c>
      <c r="BR36">
        <v>2</v>
      </c>
      <c r="BS36">
        <v>1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1</v>
      </c>
      <c r="BZ36">
        <v>11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</v>
      </c>
      <c r="CZ36">
        <v>0</v>
      </c>
      <c r="DA36">
        <v>1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1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2</v>
      </c>
      <c r="DX36">
        <v>1</v>
      </c>
      <c r="DY36">
        <v>0</v>
      </c>
      <c r="DZ36">
        <v>0</v>
      </c>
      <c r="EA36">
        <v>1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2</v>
      </c>
      <c r="EI36">
        <v>1</v>
      </c>
      <c r="EJ36">
        <v>0</v>
      </c>
      <c r="EK36">
        <v>1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1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</row>
    <row r="37" spans="1:172" ht="14.25">
      <c r="A37">
        <v>32</v>
      </c>
      <c r="B37" t="str">
        <f t="shared" si="4"/>
        <v>100202</v>
      </c>
      <c r="C37" t="str">
        <f t="shared" si="5"/>
        <v>Bedlno</v>
      </c>
      <c r="D37" t="str">
        <f t="shared" si="2"/>
        <v>kutnowski</v>
      </c>
      <c r="E37" t="str">
        <f t="shared" si="3"/>
        <v>łódzkie</v>
      </c>
      <c r="F37">
        <v>7</v>
      </c>
      <c r="G37" t="str">
        <f>"Dom Pomocy Społecznej, Wojszyce 47, 99-311 Bedlno"</f>
        <v>Dom Pomocy Społecznej, Wojszyce 47, 99-311 Bedlno</v>
      </c>
      <c r="H37">
        <v>68</v>
      </c>
      <c r="I37">
        <v>68</v>
      </c>
      <c r="J37">
        <v>0</v>
      </c>
      <c r="K37">
        <v>73</v>
      </c>
      <c r="L37">
        <v>31</v>
      </c>
      <c r="M37">
        <v>42</v>
      </c>
      <c r="N37">
        <v>42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42</v>
      </c>
      <c r="Z37">
        <v>0</v>
      </c>
      <c r="AA37">
        <v>0</v>
      </c>
      <c r="AB37">
        <v>42</v>
      </c>
      <c r="AC37">
        <v>3</v>
      </c>
      <c r="AD37">
        <v>39</v>
      </c>
      <c r="AE37">
        <v>9</v>
      </c>
      <c r="AF37">
        <v>2</v>
      </c>
      <c r="AG37">
        <v>1</v>
      </c>
      <c r="AH37">
        <v>1</v>
      </c>
      <c r="AI37">
        <v>0</v>
      </c>
      <c r="AJ37">
        <v>1</v>
      </c>
      <c r="AK37">
        <v>2</v>
      </c>
      <c r="AL37">
        <v>2</v>
      </c>
      <c r="AM37">
        <v>0</v>
      </c>
      <c r="AN37">
        <v>0</v>
      </c>
      <c r="AO37">
        <v>0</v>
      </c>
      <c r="AP37">
        <v>9</v>
      </c>
      <c r="AQ37">
        <v>4</v>
      </c>
      <c r="AR37">
        <v>0</v>
      </c>
      <c r="AS37">
        <v>0</v>
      </c>
      <c r="AT37">
        <v>1</v>
      </c>
      <c r="AU37">
        <v>1</v>
      </c>
      <c r="AV37">
        <v>0</v>
      </c>
      <c r="AW37">
        <v>0</v>
      </c>
      <c r="AX37">
        <v>1</v>
      </c>
      <c r="AY37">
        <v>0</v>
      </c>
      <c r="AZ37">
        <v>1</v>
      </c>
      <c r="BA37">
        <v>0</v>
      </c>
      <c r="BB37">
        <v>4</v>
      </c>
      <c r="BC37">
        <v>2</v>
      </c>
      <c r="BD37">
        <v>0</v>
      </c>
      <c r="BE37">
        <v>2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2</v>
      </c>
      <c r="BO37">
        <v>4</v>
      </c>
      <c r="BP37">
        <v>3</v>
      </c>
      <c r="BQ37">
        <v>1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4</v>
      </c>
      <c r="CA37">
        <v>3</v>
      </c>
      <c r="CB37">
        <v>0</v>
      </c>
      <c r="CC37">
        <v>0</v>
      </c>
      <c r="CD37">
        <v>0</v>
      </c>
      <c r="CE37">
        <v>0</v>
      </c>
      <c r="CF37">
        <v>1</v>
      </c>
      <c r="CG37">
        <v>1</v>
      </c>
      <c r="CH37">
        <v>0</v>
      </c>
      <c r="CI37">
        <v>1</v>
      </c>
      <c r="CJ37">
        <v>0</v>
      </c>
      <c r="CK37">
        <v>0</v>
      </c>
      <c r="CL37">
        <v>3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3</v>
      </c>
      <c r="CZ37">
        <v>1</v>
      </c>
      <c r="DA37">
        <v>0</v>
      </c>
      <c r="DB37">
        <v>1</v>
      </c>
      <c r="DC37">
        <v>0</v>
      </c>
      <c r="DD37">
        <v>0</v>
      </c>
      <c r="DE37">
        <v>1</v>
      </c>
      <c r="DF37">
        <v>0</v>
      </c>
      <c r="DG37">
        <v>0</v>
      </c>
      <c r="DH37">
        <v>0</v>
      </c>
      <c r="DI37">
        <v>0</v>
      </c>
      <c r="DJ37">
        <v>3</v>
      </c>
      <c r="DK37">
        <v>8</v>
      </c>
      <c r="DL37">
        <v>3</v>
      </c>
      <c r="DM37">
        <v>1</v>
      </c>
      <c r="DN37">
        <v>1</v>
      </c>
      <c r="DO37">
        <v>2</v>
      </c>
      <c r="DP37">
        <v>1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8</v>
      </c>
      <c r="DW37">
        <v>1</v>
      </c>
      <c r="DX37">
        <v>1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1</v>
      </c>
      <c r="EI37">
        <v>5</v>
      </c>
      <c r="EJ37">
        <v>0</v>
      </c>
      <c r="EK37">
        <v>5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</row>
    <row r="38" spans="1:172" ht="14.25">
      <c r="A38">
        <v>33</v>
      </c>
      <c r="B38" t="str">
        <f>"100203"</f>
        <v>100203</v>
      </c>
      <c r="C38" t="str">
        <f>"Dąbrowice"</f>
        <v>Dąbrowice</v>
      </c>
      <c r="D38" t="str">
        <f aca="true" t="shared" si="6" ref="D38:D69">"kutnowski"</f>
        <v>kutnowski</v>
      </c>
      <c r="E38" t="str">
        <f t="shared" si="3"/>
        <v>łódzkie</v>
      </c>
      <c r="F38">
        <v>1</v>
      </c>
      <c r="G38" t="str">
        <f>"Zespół Szkół, ul. Kłodawska 1, 99-352 Dąbrowice"</f>
        <v>Zespół Szkół, ul. Kłodawska 1, 99-352 Dąbrowice</v>
      </c>
      <c r="H38">
        <v>1640</v>
      </c>
      <c r="I38">
        <v>1640</v>
      </c>
      <c r="J38">
        <v>0</v>
      </c>
      <c r="K38">
        <v>1150</v>
      </c>
      <c r="L38">
        <v>838</v>
      </c>
      <c r="M38">
        <v>312</v>
      </c>
      <c r="N38">
        <v>312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312</v>
      </c>
      <c r="Z38">
        <v>0</v>
      </c>
      <c r="AA38">
        <v>0</v>
      </c>
      <c r="AB38">
        <v>312</v>
      </c>
      <c r="AC38">
        <v>21</v>
      </c>
      <c r="AD38">
        <v>291</v>
      </c>
      <c r="AE38">
        <v>96</v>
      </c>
      <c r="AF38">
        <v>94</v>
      </c>
      <c r="AG38">
        <v>2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96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8</v>
      </c>
      <c r="BD38">
        <v>7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1</v>
      </c>
      <c r="BN38">
        <v>8</v>
      </c>
      <c r="BO38">
        <v>137</v>
      </c>
      <c r="BP38">
        <v>135</v>
      </c>
      <c r="BQ38">
        <v>0</v>
      </c>
      <c r="BR38">
        <v>0</v>
      </c>
      <c r="BS38">
        <v>1</v>
      </c>
      <c r="BT38">
        <v>0</v>
      </c>
      <c r="BU38">
        <v>0</v>
      </c>
      <c r="BV38">
        <v>1</v>
      </c>
      <c r="BW38">
        <v>0</v>
      </c>
      <c r="BX38">
        <v>0</v>
      </c>
      <c r="BY38">
        <v>0</v>
      </c>
      <c r="BZ38">
        <v>137</v>
      </c>
      <c r="CA38">
        <v>4</v>
      </c>
      <c r="CB38">
        <v>1</v>
      </c>
      <c r="CC38">
        <v>1</v>
      </c>
      <c r="CD38">
        <v>1</v>
      </c>
      <c r="CE38">
        <v>0</v>
      </c>
      <c r="CF38">
        <v>0</v>
      </c>
      <c r="CG38">
        <v>0</v>
      </c>
      <c r="CH38">
        <v>1</v>
      </c>
      <c r="CI38">
        <v>0</v>
      </c>
      <c r="CJ38">
        <v>0</v>
      </c>
      <c r="CK38">
        <v>0</v>
      </c>
      <c r="CL38">
        <v>4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8</v>
      </c>
      <c r="CZ38">
        <v>5</v>
      </c>
      <c r="DA38">
        <v>1</v>
      </c>
      <c r="DB38">
        <v>0</v>
      </c>
      <c r="DC38">
        <v>1</v>
      </c>
      <c r="DD38">
        <v>1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8</v>
      </c>
      <c r="DK38">
        <v>16</v>
      </c>
      <c r="DL38">
        <v>7</v>
      </c>
      <c r="DM38">
        <v>6</v>
      </c>
      <c r="DN38">
        <v>1</v>
      </c>
      <c r="DO38">
        <v>0</v>
      </c>
      <c r="DP38">
        <v>1</v>
      </c>
      <c r="DQ38">
        <v>0</v>
      </c>
      <c r="DR38">
        <v>0</v>
      </c>
      <c r="DS38">
        <v>1</v>
      </c>
      <c r="DT38">
        <v>0</v>
      </c>
      <c r="DU38">
        <v>0</v>
      </c>
      <c r="DV38">
        <v>16</v>
      </c>
      <c r="DW38">
        <v>21</v>
      </c>
      <c r="DX38">
        <v>3</v>
      </c>
      <c r="DY38">
        <v>5</v>
      </c>
      <c r="DZ38">
        <v>0</v>
      </c>
      <c r="EA38">
        <v>2</v>
      </c>
      <c r="EB38">
        <v>0</v>
      </c>
      <c r="EC38">
        <v>2</v>
      </c>
      <c r="ED38">
        <v>1</v>
      </c>
      <c r="EE38">
        <v>1</v>
      </c>
      <c r="EF38">
        <v>7</v>
      </c>
      <c r="EG38">
        <v>0</v>
      </c>
      <c r="EH38">
        <v>21</v>
      </c>
      <c r="EI38">
        <v>1</v>
      </c>
      <c r="EJ38">
        <v>0</v>
      </c>
      <c r="EK38">
        <v>1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1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</row>
    <row r="39" spans="1:172" ht="14.25">
      <c r="A39">
        <v>34</v>
      </c>
      <c r="B39" t="str">
        <f aca="true" t="shared" si="7" ref="B39:B47">"100204"</f>
        <v>100204</v>
      </c>
      <c r="C39" t="str">
        <f aca="true" t="shared" si="8" ref="C39:C47">"Krośniewice"</f>
        <v>Krośniewice</v>
      </c>
      <c r="D39" t="str">
        <f t="shared" si="6"/>
        <v>kutnowski</v>
      </c>
      <c r="E39" t="str">
        <f t="shared" si="3"/>
        <v>łódzkie</v>
      </c>
      <c r="F39">
        <v>1</v>
      </c>
      <c r="G39" t="str">
        <f>"Gminne Centrum Kultury, Sportu i Rekreacji Ośrodek Kultury, ul. Kolejowa 21, 99-340 Krośniewice"</f>
        <v>Gminne Centrum Kultury, Sportu i Rekreacji Ośrodek Kultury, ul. Kolejowa 21, 99-340 Krośniewice</v>
      </c>
      <c r="H39">
        <v>1584</v>
      </c>
      <c r="I39">
        <v>1584</v>
      </c>
      <c r="J39">
        <v>0</v>
      </c>
      <c r="K39">
        <v>1120</v>
      </c>
      <c r="L39">
        <v>838</v>
      </c>
      <c r="M39">
        <v>282</v>
      </c>
      <c r="N39">
        <v>282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282</v>
      </c>
      <c r="Z39">
        <v>0</v>
      </c>
      <c r="AA39">
        <v>0</v>
      </c>
      <c r="AB39">
        <v>282</v>
      </c>
      <c r="AC39">
        <v>11</v>
      </c>
      <c r="AD39">
        <v>271</v>
      </c>
      <c r="AE39">
        <v>11</v>
      </c>
      <c r="AF39">
        <v>10</v>
      </c>
      <c r="AG39">
        <v>0</v>
      </c>
      <c r="AH39">
        <v>0</v>
      </c>
      <c r="AI39">
        <v>0</v>
      </c>
      <c r="AJ39">
        <v>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11</v>
      </c>
      <c r="AQ39">
        <v>3</v>
      </c>
      <c r="AR39">
        <v>1</v>
      </c>
      <c r="AS39">
        <v>0</v>
      </c>
      <c r="AT39">
        <v>0</v>
      </c>
      <c r="AU39">
        <v>0</v>
      </c>
      <c r="AV39">
        <v>1</v>
      </c>
      <c r="AW39">
        <v>0</v>
      </c>
      <c r="AX39">
        <v>1</v>
      </c>
      <c r="AY39">
        <v>0</v>
      </c>
      <c r="AZ39">
        <v>0</v>
      </c>
      <c r="BA39">
        <v>0</v>
      </c>
      <c r="BB39">
        <v>3</v>
      </c>
      <c r="BC39">
        <v>30</v>
      </c>
      <c r="BD39">
        <v>12</v>
      </c>
      <c r="BE39">
        <v>9</v>
      </c>
      <c r="BF39">
        <v>3</v>
      </c>
      <c r="BG39">
        <v>3</v>
      </c>
      <c r="BH39">
        <v>0</v>
      </c>
      <c r="BI39">
        <v>1</v>
      </c>
      <c r="BJ39">
        <v>0</v>
      </c>
      <c r="BK39">
        <v>0</v>
      </c>
      <c r="BL39">
        <v>0</v>
      </c>
      <c r="BM39">
        <v>2</v>
      </c>
      <c r="BN39">
        <v>30</v>
      </c>
      <c r="BO39">
        <v>112</v>
      </c>
      <c r="BP39">
        <v>100</v>
      </c>
      <c r="BQ39">
        <v>4</v>
      </c>
      <c r="BR39">
        <v>1</v>
      </c>
      <c r="BS39">
        <v>4</v>
      </c>
      <c r="BT39">
        <v>0</v>
      </c>
      <c r="BU39">
        <v>0</v>
      </c>
      <c r="BV39">
        <v>1</v>
      </c>
      <c r="BW39">
        <v>2</v>
      </c>
      <c r="BX39">
        <v>0</v>
      </c>
      <c r="BY39">
        <v>0</v>
      </c>
      <c r="BZ39">
        <v>112</v>
      </c>
      <c r="CA39">
        <v>6</v>
      </c>
      <c r="CB39">
        <v>1</v>
      </c>
      <c r="CC39">
        <v>2</v>
      </c>
      <c r="CD39">
        <v>1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2</v>
      </c>
      <c r="CL39">
        <v>6</v>
      </c>
      <c r="CM39">
        <v>4</v>
      </c>
      <c r="CN39">
        <v>1</v>
      </c>
      <c r="CO39">
        <v>0</v>
      </c>
      <c r="CP39">
        <v>0</v>
      </c>
      <c r="CQ39">
        <v>0</v>
      </c>
      <c r="CR39">
        <v>0</v>
      </c>
      <c r="CS39">
        <v>3</v>
      </c>
      <c r="CT39">
        <v>0</v>
      </c>
      <c r="CU39">
        <v>0</v>
      </c>
      <c r="CV39">
        <v>0</v>
      </c>
      <c r="CW39">
        <v>0</v>
      </c>
      <c r="CX39">
        <v>4</v>
      </c>
      <c r="CY39">
        <v>23</v>
      </c>
      <c r="CZ39">
        <v>17</v>
      </c>
      <c r="DA39">
        <v>1</v>
      </c>
      <c r="DB39">
        <v>2</v>
      </c>
      <c r="DC39">
        <v>0</v>
      </c>
      <c r="DD39">
        <v>0</v>
      </c>
      <c r="DE39">
        <v>0</v>
      </c>
      <c r="DF39">
        <v>3</v>
      </c>
      <c r="DG39">
        <v>0</v>
      </c>
      <c r="DH39">
        <v>0</v>
      </c>
      <c r="DI39">
        <v>0</v>
      </c>
      <c r="DJ39">
        <v>23</v>
      </c>
      <c r="DK39">
        <v>70</v>
      </c>
      <c r="DL39">
        <v>44</v>
      </c>
      <c r="DM39">
        <v>21</v>
      </c>
      <c r="DN39">
        <v>1</v>
      </c>
      <c r="DO39">
        <v>1</v>
      </c>
      <c r="DP39">
        <v>0</v>
      </c>
      <c r="DQ39">
        <v>0</v>
      </c>
      <c r="DR39">
        <v>1</v>
      </c>
      <c r="DS39">
        <v>0</v>
      </c>
      <c r="DT39">
        <v>2</v>
      </c>
      <c r="DU39">
        <v>0</v>
      </c>
      <c r="DV39">
        <v>70</v>
      </c>
      <c r="DW39">
        <v>8</v>
      </c>
      <c r="DX39">
        <v>1</v>
      </c>
      <c r="DY39">
        <v>4</v>
      </c>
      <c r="DZ39">
        <v>0</v>
      </c>
      <c r="EA39">
        <v>0</v>
      </c>
      <c r="EB39">
        <v>0</v>
      </c>
      <c r="EC39">
        <v>0</v>
      </c>
      <c r="ED39">
        <v>1</v>
      </c>
      <c r="EE39">
        <v>0</v>
      </c>
      <c r="EF39">
        <v>2</v>
      </c>
      <c r="EG39">
        <v>0</v>
      </c>
      <c r="EH39">
        <v>8</v>
      </c>
      <c r="EI39">
        <v>2</v>
      </c>
      <c r="EJ39">
        <v>0</v>
      </c>
      <c r="EK39">
        <v>2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2</v>
      </c>
      <c r="ES39">
        <v>1</v>
      </c>
      <c r="ET39">
        <v>0</v>
      </c>
      <c r="EU39">
        <v>1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1</v>
      </c>
      <c r="FE39">
        <v>1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1</v>
      </c>
      <c r="FM39">
        <v>0</v>
      </c>
      <c r="FN39">
        <v>0</v>
      </c>
      <c r="FO39">
        <v>0</v>
      </c>
      <c r="FP39">
        <v>1</v>
      </c>
    </row>
    <row r="40" spans="1:172" ht="14.25">
      <c r="A40">
        <v>35</v>
      </c>
      <c r="B40" t="str">
        <f t="shared" si="7"/>
        <v>100204</v>
      </c>
      <c r="C40" t="str">
        <f t="shared" si="8"/>
        <v>Krośniewice</v>
      </c>
      <c r="D40" t="str">
        <f t="shared" si="6"/>
        <v>kutnowski</v>
      </c>
      <c r="E40" t="str">
        <f t="shared" si="3"/>
        <v>łódzkie</v>
      </c>
      <c r="F40">
        <v>2</v>
      </c>
      <c r="G40" t="str">
        <f>"Świetlica osiedlowa, ul. Błonie (Andersówka) 9, 99-340 Krośniewice"</f>
        <v>Świetlica osiedlowa, ul. Błonie (Andersówka) 9, 99-340 Krośniewice</v>
      </c>
      <c r="H40">
        <v>338</v>
      </c>
      <c r="I40">
        <v>338</v>
      </c>
      <c r="J40">
        <v>0</v>
      </c>
      <c r="K40">
        <v>240</v>
      </c>
      <c r="L40">
        <v>180</v>
      </c>
      <c r="M40">
        <v>60</v>
      </c>
      <c r="N40">
        <v>60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60</v>
      </c>
      <c r="Z40">
        <v>0</v>
      </c>
      <c r="AA40">
        <v>0</v>
      </c>
      <c r="AB40">
        <v>60</v>
      </c>
      <c r="AC40">
        <v>3</v>
      </c>
      <c r="AD40">
        <v>57</v>
      </c>
      <c r="AE40">
        <v>7</v>
      </c>
      <c r="AF40">
        <v>6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7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4</v>
      </c>
      <c r="BD40">
        <v>3</v>
      </c>
      <c r="BE40">
        <v>1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4</v>
      </c>
      <c r="BO40">
        <v>23</v>
      </c>
      <c r="BP40">
        <v>19</v>
      </c>
      <c r="BQ40">
        <v>0</v>
      </c>
      <c r="BR40">
        <v>1</v>
      </c>
      <c r="BS40">
        <v>0</v>
      </c>
      <c r="BT40">
        <v>1</v>
      </c>
      <c r="BU40">
        <v>0</v>
      </c>
      <c r="BV40">
        <v>2</v>
      </c>
      <c r="BW40">
        <v>0</v>
      </c>
      <c r="BX40">
        <v>0</v>
      </c>
      <c r="BY40">
        <v>0</v>
      </c>
      <c r="BZ40">
        <v>23</v>
      </c>
      <c r="CA40">
        <v>2</v>
      </c>
      <c r="CB40">
        <v>1</v>
      </c>
      <c r="CC40">
        <v>0</v>
      </c>
      <c r="CD40">
        <v>1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1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1</v>
      </c>
      <c r="DI40">
        <v>0</v>
      </c>
      <c r="DJ40">
        <v>1</v>
      </c>
      <c r="DK40">
        <v>18</v>
      </c>
      <c r="DL40">
        <v>8</v>
      </c>
      <c r="DM40">
        <v>8</v>
      </c>
      <c r="DN40">
        <v>0</v>
      </c>
      <c r="DO40">
        <v>0</v>
      </c>
      <c r="DP40">
        <v>2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18</v>
      </c>
      <c r="DW40">
        <v>2</v>
      </c>
      <c r="DX40">
        <v>0</v>
      </c>
      <c r="DY40">
        <v>1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1</v>
      </c>
      <c r="EG40">
        <v>0</v>
      </c>
      <c r="EH40">
        <v>2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</row>
    <row r="41" spans="1:172" ht="14.25">
      <c r="A41">
        <v>36</v>
      </c>
      <c r="B41" t="str">
        <f t="shared" si="7"/>
        <v>100204</v>
      </c>
      <c r="C41" t="str">
        <f t="shared" si="8"/>
        <v>Krośniewice</v>
      </c>
      <c r="D41" t="str">
        <f t="shared" si="6"/>
        <v>kutnowski</v>
      </c>
      <c r="E41" t="str">
        <f t="shared" si="3"/>
        <v>łódzkie</v>
      </c>
      <c r="F41">
        <v>3</v>
      </c>
      <c r="G41" t="str">
        <f>"Szkoła Podstawowa Nr 1, ul. Poznańska 15, 99-340 Krośniewice"</f>
        <v>Szkoła Podstawowa Nr 1, ul. Poznańska 15, 99-340 Krośniewice</v>
      </c>
      <c r="H41">
        <v>922</v>
      </c>
      <c r="I41">
        <v>922</v>
      </c>
      <c r="J41">
        <v>0</v>
      </c>
      <c r="K41">
        <v>650</v>
      </c>
      <c r="L41">
        <v>575</v>
      </c>
      <c r="M41">
        <v>75</v>
      </c>
      <c r="N41">
        <v>75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75</v>
      </c>
      <c r="Z41">
        <v>0</v>
      </c>
      <c r="AA41">
        <v>0</v>
      </c>
      <c r="AB41">
        <v>75</v>
      </c>
      <c r="AC41">
        <v>14</v>
      </c>
      <c r="AD41">
        <v>61</v>
      </c>
      <c r="AE41">
        <v>5</v>
      </c>
      <c r="AF41">
        <v>5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5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3</v>
      </c>
      <c r="BD41">
        <v>2</v>
      </c>
      <c r="BE41">
        <v>0</v>
      </c>
      <c r="BF41">
        <v>0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3</v>
      </c>
      <c r="BO41">
        <v>28</v>
      </c>
      <c r="BP41">
        <v>23</v>
      </c>
      <c r="BQ41">
        <v>0</v>
      </c>
      <c r="BR41">
        <v>0</v>
      </c>
      <c r="BS41">
        <v>3</v>
      </c>
      <c r="BT41">
        <v>1</v>
      </c>
      <c r="BU41">
        <v>0</v>
      </c>
      <c r="BV41">
        <v>0</v>
      </c>
      <c r="BW41">
        <v>1</v>
      </c>
      <c r="BX41">
        <v>0</v>
      </c>
      <c r="BY41">
        <v>0</v>
      </c>
      <c r="BZ41">
        <v>28</v>
      </c>
      <c r="CA41">
        <v>1</v>
      </c>
      <c r="CB41">
        <v>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3</v>
      </c>
      <c r="CZ41">
        <v>1</v>
      </c>
      <c r="DA41">
        <v>0</v>
      </c>
      <c r="DB41">
        <v>0</v>
      </c>
      <c r="DC41">
        <v>1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1</v>
      </c>
      <c r="DJ41">
        <v>3</v>
      </c>
      <c r="DK41">
        <v>12</v>
      </c>
      <c r="DL41">
        <v>8</v>
      </c>
      <c r="DM41">
        <v>2</v>
      </c>
      <c r="DN41">
        <v>1</v>
      </c>
      <c r="DO41">
        <v>0</v>
      </c>
      <c r="DP41">
        <v>0</v>
      </c>
      <c r="DQ41">
        <v>0</v>
      </c>
      <c r="DR41">
        <v>0</v>
      </c>
      <c r="DS41">
        <v>1</v>
      </c>
      <c r="DT41">
        <v>0</v>
      </c>
      <c r="DU41">
        <v>0</v>
      </c>
      <c r="DV41">
        <v>12</v>
      </c>
      <c r="DW41">
        <v>8</v>
      </c>
      <c r="DX41">
        <v>3</v>
      </c>
      <c r="DY41">
        <v>0</v>
      </c>
      <c r="DZ41">
        <v>0</v>
      </c>
      <c r="EA41">
        <v>1</v>
      </c>
      <c r="EB41">
        <v>0</v>
      </c>
      <c r="EC41">
        <v>0</v>
      </c>
      <c r="ED41">
        <v>1</v>
      </c>
      <c r="EE41">
        <v>0</v>
      </c>
      <c r="EF41">
        <v>3</v>
      </c>
      <c r="EG41">
        <v>0</v>
      </c>
      <c r="EH41">
        <v>8</v>
      </c>
      <c r="EI41">
        <v>1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1</v>
      </c>
      <c r="EP41">
        <v>0</v>
      </c>
      <c r="EQ41">
        <v>0</v>
      </c>
      <c r="ER41">
        <v>1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</row>
    <row r="42" spans="1:172" ht="14.25">
      <c r="A42">
        <v>37</v>
      </c>
      <c r="B42" t="str">
        <f t="shared" si="7"/>
        <v>100204</v>
      </c>
      <c r="C42" t="str">
        <f t="shared" si="8"/>
        <v>Krośniewice</v>
      </c>
      <c r="D42" t="str">
        <f t="shared" si="6"/>
        <v>kutnowski</v>
      </c>
      <c r="E42" t="str">
        <f t="shared" si="3"/>
        <v>łódzkie</v>
      </c>
      <c r="F42">
        <v>4</v>
      </c>
      <c r="G42" t="str">
        <f>"Zespół Szkół Nr 1, ul. Łęczycka 17, 99-340 Krośniewice"</f>
        <v>Zespół Szkół Nr 1, ul. Łęczycka 17, 99-340 Krośniewice</v>
      </c>
      <c r="H42">
        <v>970</v>
      </c>
      <c r="I42">
        <v>970</v>
      </c>
      <c r="J42">
        <v>0</v>
      </c>
      <c r="K42">
        <v>690</v>
      </c>
      <c r="L42">
        <v>518</v>
      </c>
      <c r="M42">
        <v>172</v>
      </c>
      <c r="N42">
        <v>172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172</v>
      </c>
      <c r="Z42">
        <v>0</v>
      </c>
      <c r="AA42">
        <v>0</v>
      </c>
      <c r="AB42">
        <v>172</v>
      </c>
      <c r="AC42">
        <v>5</v>
      </c>
      <c r="AD42">
        <v>167</v>
      </c>
      <c r="AE42">
        <v>11</v>
      </c>
      <c r="AF42">
        <v>7</v>
      </c>
      <c r="AG42">
        <v>2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2</v>
      </c>
      <c r="AO42">
        <v>0</v>
      </c>
      <c r="AP42">
        <v>11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0</v>
      </c>
      <c r="BA42">
        <v>0</v>
      </c>
      <c r="BB42">
        <v>1</v>
      </c>
      <c r="BC42">
        <v>18</v>
      </c>
      <c r="BD42">
        <v>6</v>
      </c>
      <c r="BE42">
        <v>3</v>
      </c>
      <c r="BF42">
        <v>0</v>
      </c>
      <c r="BG42">
        <v>1</v>
      </c>
      <c r="BH42">
        <v>0</v>
      </c>
      <c r="BI42">
        <v>1</v>
      </c>
      <c r="BJ42">
        <v>0</v>
      </c>
      <c r="BK42">
        <v>0</v>
      </c>
      <c r="BL42">
        <v>7</v>
      </c>
      <c r="BM42">
        <v>0</v>
      </c>
      <c r="BN42">
        <v>18</v>
      </c>
      <c r="BO42">
        <v>70</v>
      </c>
      <c r="BP42">
        <v>62</v>
      </c>
      <c r="BQ42">
        <v>4</v>
      </c>
      <c r="BR42">
        <v>1</v>
      </c>
      <c r="BS42">
        <v>2</v>
      </c>
      <c r="BT42">
        <v>1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70</v>
      </c>
      <c r="CA42">
        <v>6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1</v>
      </c>
      <c r="CH42">
        <v>1</v>
      </c>
      <c r="CI42">
        <v>2</v>
      </c>
      <c r="CJ42">
        <v>0</v>
      </c>
      <c r="CK42">
        <v>2</v>
      </c>
      <c r="CL42">
        <v>6</v>
      </c>
      <c r="CM42">
        <v>2</v>
      </c>
      <c r="CN42">
        <v>2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2</v>
      </c>
      <c r="CY42">
        <v>7</v>
      </c>
      <c r="CZ42">
        <v>5</v>
      </c>
      <c r="DA42">
        <v>1</v>
      </c>
      <c r="DB42">
        <v>0</v>
      </c>
      <c r="DC42">
        <v>0</v>
      </c>
      <c r="DD42">
        <v>1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7</v>
      </c>
      <c r="DK42">
        <v>44</v>
      </c>
      <c r="DL42">
        <v>27</v>
      </c>
      <c r="DM42">
        <v>11</v>
      </c>
      <c r="DN42">
        <v>1</v>
      </c>
      <c r="DO42">
        <v>1</v>
      </c>
      <c r="DP42">
        <v>2</v>
      </c>
      <c r="DQ42">
        <v>0</v>
      </c>
      <c r="DR42">
        <v>0</v>
      </c>
      <c r="DS42">
        <v>1</v>
      </c>
      <c r="DT42">
        <v>0</v>
      </c>
      <c r="DU42">
        <v>1</v>
      </c>
      <c r="DV42">
        <v>44</v>
      </c>
      <c r="DW42">
        <v>4</v>
      </c>
      <c r="DX42">
        <v>0</v>
      </c>
      <c r="DY42">
        <v>1</v>
      </c>
      <c r="DZ42">
        <v>0</v>
      </c>
      <c r="EA42">
        <v>2</v>
      </c>
      <c r="EB42">
        <v>0</v>
      </c>
      <c r="EC42">
        <v>0</v>
      </c>
      <c r="ED42">
        <v>0</v>
      </c>
      <c r="EE42">
        <v>0</v>
      </c>
      <c r="EF42">
        <v>1</v>
      </c>
      <c r="EG42">
        <v>0</v>
      </c>
      <c r="EH42">
        <v>4</v>
      </c>
      <c r="EI42">
        <v>1</v>
      </c>
      <c r="EJ42">
        <v>0</v>
      </c>
      <c r="EK42">
        <v>1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1</v>
      </c>
      <c r="ES42">
        <v>2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1</v>
      </c>
      <c r="EZ42">
        <v>0</v>
      </c>
      <c r="FA42">
        <v>0</v>
      </c>
      <c r="FB42">
        <v>0</v>
      </c>
      <c r="FC42">
        <v>1</v>
      </c>
      <c r="FD42">
        <v>2</v>
      </c>
      <c r="FE42">
        <v>1</v>
      </c>
      <c r="FF42">
        <v>0</v>
      </c>
      <c r="FG42">
        <v>1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1</v>
      </c>
    </row>
    <row r="43" spans="1:172" ht="14.25">
      <c r="A43">
        <v>38</v>
      </c>
      <c r="B43" t="str">
        <f t="shared" si="7"/>
        <v>100204</v>
      </c>
      <c r="C43" t="str">
        <f t="shared" si="8"/>
        <v>Krośniewice</v>
      </c>
      <c r="D43" t="str">
        <f t="shared" si="6"/>
        <v>kutnowski</v>
      </c>
      <c r="E43" t="str">
        <f t="shared" si="3"/>
        <v>łódzkie</v>
      </c>
      <c r="F43">
        <v>5</v>
      </c>
      <c r="G43" t="str">
        <f>"Budynek po Liceum Ogólnokształcącym, ul. Łęczycka 19a, 99-340 Krośniewice"</f>
        <v>Budynek po Liceum Ogólnokształcącym, ul. Łęczycka 19a, 99-340 Krośniewice</v>
      </c>
      <c r="H43">
        <v>816</v>
      </c>
      <c r="I43">
        <v>816</v>
      </c>
      <c r="J43">
        <v>0</v>
      </c>
      <c r="K43">
        <v>570</v>
      </c>
      <c r="L43">
        <v>396</v>
      </c>
      <c r="M43">
        <v>174</v>
      </c>
      <c r="N43">
        <v>174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174</v>
      </c>
      <c r="Z43">
        <v>0</v>
      </c>
      <c r="AA43">
        <v>0</v>
      </c>
      <c r="AB43">
        <v>174</v>
      </c>
      <c r="AC43">
        <v>3</v>
      </c>
      <c r="AD43">
        <v>171</v>
      </c>
      <c r="AE43">
        <v>11</v>
      </c>
      <c r="AF43">
        <v>10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11</v>
      </c>
      <c r="AQ43">
        <v>2</v>
      </c>
      <c r="AR43">
        <v>2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</v>
      </c>
      <c r="BC43">
        <v>20</v>
      </c>
      <c r="BD43">
        <v>12</v>
      </c>
      <c r="BE43">
        <v>2</v>
      </c>
      <c r="BF43">
        <v>1</v>
      </c>
      <c r="BG43">
        <v>1</v>
      </c>
      <c r="BH43">
        <v>0</v>
      </c>
      <c r="BI43">
        <v>1</v>
      </c>
      <c r="BJ43">
        <v>0</v>
      </c>
      <c r="BK43">
        <v>0</v>
      </c>
      <c r="BL43">
        <v>3</v>
      </c>
      <c r="BM43">
        <v>0</v>
      </c>
      <c r="BN43">
        <v>20</v>
      </c>
      <c r="BO43">
        <v>64</v>
      </c>
      <c r="BP43">
        <v>54</v>
      </c>
      <c r="BQ43">
        <v>4</v>
      </c>
      <c r="BR43">
        <v>1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1</v>
      </c>
      <c r="BY43">
        <v>3</v>
      </c>
      <c r="BZ43">
        <v>64</v>
      </c>
      <c r="CA43">
        <v>9</v>
      </c>
      <c r="CB43">
        <v>2</v>
      </c>
      <c r="CC43">
        <v>2</v>
      </c>
      <c r="CD43">
        <v>1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3</v>
      </c>
      <c r="CL43">
        <v>9</v>
      </c>
      <c r="CM43">
        <v>2</v>
      </c>
      <c r="CN43">
        <v>2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2</v>
      </c>
      <c r="CY43">
        <v>18</v>
      </c>
      <c r="CZ43">
        <v>12</v>
      </c>
      <c r="DA43">
        <v>1</v>
      </c>
      <c r="DB43">
        <v>0</v>
      </c>
      <c r="DC43">
        <v>0</v>
      </c>
      <c r="DD43">
        <v>0</v>
      </c>
      <c r="DE43">
        <v>1</v>
      </c>
      <c r="DF43">
        <v>0</v>
      </c>
      <c r="DG43">
        <v>1</v>
      </c>
      <c r="DH43">
        <v>2</v>
      </c>
      <c r="DI43">
        <v>1</v>
      </c>
      <c r="DJ43">
        <v>18</v>
      </c>
      <c r="DK43">
        <v>35</v>
      </c>
      <c r="DL43">
        <v>25</v>
      </c>
      <c r="DM43">
        <v>9</v>
      </c>
      <c r="DN43">
        <v>0</v>
      </c>
      <c r="DO43">
        <v>0</v>
      </c>
      <c r="DP43">
        <v>1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35</v>
      </c>
      <c r="DW43">
        <v>9</v>
      </c>
      <c r="DX43">
        <v>3</v>
      </c>
      <c r="DY43">
        <v>2</v>
      </c>
      <c r="DZ43">
        <v>0</v>
      </c>
      <c r="EA43">
        <v>3</v>
      </c>
      <c r="EB43">
        <v>0</v>
      </c>
      <c r="EC43">
        <v>0</v>
      </c>
      <c r="ED43">
        <v>1</v>
      </c>
      <c r="EE43">
        <v>0</v>
      </c>
      <c r="EF43">
        <v>0</v>
      </c>
      <c r="EG43">
        <v>0</v>
      </c>
      <c r="EH43">
        <v>9</v>
      </c>
      <c r="EI43">
        <v>1</v>
      </c>
      <c r="EJ43">
        <v>1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1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</row>
    <row r="44" spans="1:172" ht="14.25">
      <c r="A44">
        <v>39</v>
      </c>
      <c r="B44" t="str">
        <f t="shared" si="7"/>
        <v>100204</v>
      </c>
      <c r="C44" t="str">
        <f t="shared" si="8"/>
        <v>Krośniewice</v>
      </c>
      <c r="D44" t="str">
        <f t="shared" si="6"/>
        <v>kutnowski</v>
      </c>
      <c r="E44" t="str">
        <f t="shared" si="3"/>
        <v>łódzkie</v>
      </c>
      <c r="F44">
        <v>6</v>
      </c>
      <c r="G44" t="str">
        <f>"Katolicka Szkoła Podstawowa z Oddziałami Przedszkolnymi im. bł. Jana Pawła II, Zalesie, 99-340 Krośniewice"</f>
        <v>Katolicka Szkoła Podstawowa z Oddziałami Przedszkolnymi im. bł. Jana Pawła II, Zalesie, 99-340 Krośniewice</v>
      </c>
      <c r="H44">
        <v>567</v>
      </c>
      <c r="I44">
        <v>567</v>
      </c>
      <c r="J44">
        <v>0</v>
      </c>
      <c r="K44">
        <v>400</v>
      </c>
      <c r="L44">
        <v>353</v>
      </c>
      <c r="M44">
        <v>47</v>
      </c>
      <c r="N44">
        <v>47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47</v>
      </c>
      <c r="Z44">
        <v>0</v>
      </c>
      <c r="AA44">
        <v>0</v>
      </c>
      <c r="AB44">
        <v>47</v>
      </c>
      <c r="AC44">
        <v>3</v>
      </c>
      <c r="AD44">
        <v>44</v>
      </c>
      <c r="AE44">
        <v>11</v>
      </c>
      <c r="AF44">
        <v>11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11</v>
      </c>
      <c r="AQ44">
        <v>1</v>
      </c>
      <c r="AR44">
        <v>1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1</v>
      </c>
      <c r="BC44">
        <v>9</v>
      </c>
      <c r="BD44">
        <v>3</v>
      </c>
      <c r="BE44">
        <v>1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4</v>
      </c>
      <c r="BM44">
        <v>0</v>
      </c>
      <c r="BN44">
        <v>9</v>
      </c>
      <c r="BO44">
        <v>9</v>
      </c>
      <c r="BP44">
        <v>8</v>
      </c>
      <c r="BQ44">
        <v>0</v>
      </c>
      <c r="BR44">
        <v>0</v>
      </c>
      <c r="BS44">
        <v>1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9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1</v>
      </c>
      <c r="CY44">
        <v>2</v>
      </c>
      <c r="CZ44">
        <v>2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2</v>
      </c>
      <c r="DK44">
        <v>4</v>
      </c>
      <c r="DL44">
        <v>3</v>
      </c>
      <c r="DM44">
        <v>1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4</v>
      </c>
      <c r="DW44">
        <v>7</v>
      </c>
      <c r="DX44">
        <v>2</v>
      </c>
      <c r="DY44">
        <v>1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4</v>
      </c>
      <c r="EG44">
        <v>0</v>
      </c>
      <c r="EH44">
        <v>7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</row>
    <row r="45" spans="1:172" ht="14.25">
      <c r="A45">
        <v>40</v>
      </c>
      <c r="B45" t="str">
        <f t="shared" si="7"/>
        <v>100204</v>
      </c>
      <c r="C45" t="str">
        <f t="shared" si="8"/>
        <v>Krośniewice</v>
      </c>
      <c r="D45" t="str">
        <f t="shared" si="6"/>
        <v>kutnowski</v>
      </c>
      <c r="E45" t="str">
        <f t="shared" si="3"/>
        <v>łódzkie</v>
      </c>
      <c r="F45">
        <v>7</v>
      </c>
      <c r="G45" t="s">
        <v>42</v>
      </c>
      <c r="H45">
        <v>503</v>
      </c>
      <c r="I45">
        <v>503</v>
      </c>
      <c r="J45">
        <v>0</v>
      </c>
      <c r="K45">
        <v>350</v>
      </c>
      <c r="L45">
        <v>311</v>
      </c>
      <c r="M45">
        <v>39</v>
      </c>
      <c r="N45">
        <v>39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39</v>
      </c>
      <c r="Z45">
        <v>0</v>
      </c>
      <c r="AA45">
        <v>0</v>
      </c>
      <c r="AB45">
        <v>39</v>
      </c>
      <c r="AC45">
        <v>4</v>
      </c>
      <c r="AD45">
        <v>35</v>
      </c>
      <c r="AE45">
        <v>2</v>
      </c>
      <c r="AF45">
        <v>2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2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5</v>
      </c>
      <c r="BD45">
        <v>3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1</v>
      </c>
      <c r="BM45">
        <v>1</v>
      </c>
      <c r="BN45">
        <v>5</v>
      </c>
      <c r="BO45">
        <v>16</v>
      </c>
      <c r="BP45">
        <v>16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16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9</v>
      </c>
      <c r="DL45">
        <v>8</v>
      </c>
      <c r="DM45">
        <v>0</v>
      </c>
      <c r="DN45">
        <v>0</v>
      </c>
      <c r="DO45">
        <v>0</v>
      </c>
      <c r="DP45">
        <v>1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9</v>
      </c>
      <c r="DW45">
        <v>3</v>
      </c>
      <c r="DX45">
        <v>0</v>
      </c>
      <c r="DY45">
        <v>0</v>
      </c>
      <c r="DZ45">
        <v>0</v>
      </c>
      <c r="EA45">
        <v>1</v>
      </c>
      <c r="EB45">
        <v>0</v>
      </c>
      <c r="EC45">
        <v>0</v>
      </c>
      <c r="ED45">
        <v>0</v>
      </c>
      <c r="EE45">
        <v>0</v>
      </c>
      <c r="EF45">
        <v>1</v>
      </c>
      <c r="EG45">
        <v>1</v>
      </c>
      <c r="EH45">
        <v>3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</row>
    <row r="46" spans="1:172" ht="14.25">
      <c r="A46">
        <v>41</v>
      </c>
      <c r="B46" t="str">
        <f t="shared" si="7"/>
        <v>100204</v>
      </c>
      <c r="C46" t="str">
        <f t="shared" si="8"/>
        <v>Krośniewice</v>
      </c>
      <c r="D46" t="str">
        <f t="shared" si="6"/>
        <v>kutnowski</v>
      </c>
      <c r="E46" t="str">
        <f t="shared" si="3"/>
        <v>łódzkie</v>
      </c>
      <c r="F46">
        <v>8</v>
      </c>
      <c r="G46" t="str">
        <f>"Szkoła Podstawowa im. gen. Władysława Andersa, Nowe, 99-340 Krośniewice"</f>
        <v>Szkoła Podstawowa im. gen. Władysława Andersa, Nowe, 99-340 Krośniewice</v>
      </c>
      <c r="H46">
        <v>991</v>
      </c>
      <c r="I46">
        <v>991</v>
      </c>
      <c r="J46">
        <v>0</v>
      </c>
      <c r="K46">
        <v>700</v>
      </c>
      <c r="L46">
        <v>592</v>
      </c>
      <c r="M46">
        <v>108</v>
      </c>
      <c r="N46">
        <v>108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108</v>
      </c>
      <c r="Z46">
        <v>0</v>
      </c>
      <c r="AA46">
        <v>0</v>
      </c>
      <c r="AB46">
        <v>108</v>
      </c>
      <c r="AC46">
        <v>10</v>
      </c>
      <c r="AD46">
        <v>98</v>
      </c>
      <c r="AE46">
        <v>22</v>
      </c>
      <c r="AF46">
        <v>20</v>
      </c>
      <c r="AG46">
        <v>0</v>
      </c>
      <c r="AH46">
        <v>1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22</v>
      </c>
      <c r="AQ46">
        <v>1</v>
      </c>
      <c r="AR46">
        <v>0</v>
      </c>
      <c r="AS46">
        <v>1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1</v>
      </c>
      <c r="BC46">
        <v>10</v>
      </c>
      <c r="BD46">
        <v>4</v>
      </c>
      <c r="BE46">
        <v>3</v>
      </c>
      <c r="BF46">
        <v>1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1</v>
      </c>
      <c r="BM46">
        <v>1</v>
      </c>
      <c r="BN46">
        <v>10</v>
      </c>
      <c r="BO46">
        <v>43</v>
      </c>
      <c r="BP46">
        <v>36</v>
      </c>
      <c r="BQ46">
        <v>2</v>
      </c>
      <c r="BR46">
        <v>1</v>
      </c>
      <c r="BS46">
        <v>1</v>
      </c>
      <c r="BT46">
        <v>0</v>
      </c>
      <c r="BU46">
        <v>0</v>
      </c>
      <c r="BV46">
        <v>2</v>
      </c>
      <c r="BW46">
        <v>0</v>
      </c>
      <c r="BX46">
        <v>1</v>
      </c>
      <c r="BY46">
        <v>0</v>
      </c>
      <c r="BZ46">
        <v>43</v>
      </c>
      <c r="CA46">
        <v>3</v>
      </c>
      <c r="CB46">
        <v>1</v>
      </c>
      <c r="CC46">
        <v>0</v>
      </c>
      <c r="CD46">
        <v>1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1</v>
      </c>
      <c r="CK46">
        <v>0</v>
      </c>
      <c r="CL46">
        <v>3</v>
      </c>
      <c r="CM46">
        <v>1</v>
      </c>
      <c r="CN46">
        <v>1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1</v>
      </c>
      <c r="CY46">
        <v>5</v>
      </c>
      <c r="CZ46">
        <v>5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5</v>
      </c>
      <c r="DK46">
        <v>10</v>
      </c>
      <c r="DL46">
        <v>8</v>
      </c>
      <c r="DM46">
        <v>1</v>
      </c>
      <c r="DN46">
        <v>0</v>
      </c>
      <c r="DO46">
        <v>1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10</v>
      </c>
      <c r="DW46">
        <v>2</v>
      </c>
      <c r="DX46">
        <v>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2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1</v>
      </c>
      <c r="ET46">
        <v>0</v>
      </c>
      <c r="EU46">
        <v>0</v>
      </c>
      <c r="EV46">
        <v>0</v>
      </c>
      <c r="EW46">
        <v>1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1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</row>
    <row r="47" spans="1:172" ht="14.25">
      <c r="A47">
        <v>42</v>
      </c>
      <c r="B47" t="str">
        <f t="shared" si="7"/>
        <v>100204</v>
      </c>
      <c r="C47" t="str">
        <f t="shared" si="8"/>
        <v>Krośniewice</v>
      </c>
      <c r="D47" t="str">
        <f t="shared" si="6"/>
        <v>kutnowski</v>
      </c>
      <c r="E47" t="str">
        <f t="shared" si="3"/>
        <v>łódzkie</v>
      </c>
      <c r="F47">
        <v>9</v>
      </c>
      <c r="G47" t="str">
        <f>"Świetlica wiejska, Szubsk Duży 18, 99-340 Krośniewice"</f>
        <v>Świetlica wiejska, Szubsk Duży 18, 99-340 Krośniewice</v>
      </c>
      <c r="H47">
        <v>483</v>
      </c>
      <c r="I47">
        <v>483</v>
      </c>
      <c r="J47">
        <v>0</v>
      </c>
      <c r="K47">
        <v>340</v>
      </c>
      <c r="L47">
        <v>271</v>
      </c>
      <c r="M47">
        <v>69</v>
      </c>
      <c r="N47">
        <v>69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69</v>
      </c>
      <c r="Z47">
        <v>0</v>
      </c>
      <c r="AA47">
        <v>0</v>
      </c>
      <c r="AB47">
        <v>69</v>
      </c>
      <c r="AC47">
        <v>6</v>
      </c>
      <c r="AD47">
        <v>63</v>
      </c>
      <c r="AE47">
        <v>9</v>
      </c>
      <c r="AF47">
        <v>9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9</v>
      </c>
      <c r="AQ47">
        <v>1</v>
      </c>
      <c r="AR47">
        <v>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1</v>
      </c>
      <c r="BC47">
        <v>4</v>
      </c>
      <c r="BD47">
        <v>1</v>
      </c>
      <c r="BE47">
        <v>1</v>
      </c>
      <c r="BF47">
        <v>0</v>
      </c>
      <c r="BG47">
        <v>1</v>
      </c>
      <c r="BH47">
        <v>0</v>
      </c>
      <c r="BI47">
        <v>0</v>
      </c>
      <c r="BJ47">
        <v>0</v>
      </c>
      <c r="BK47">
        <v>0</v>
      </c>
      <c r="BL47">
        <v>1</v>
      </c>
      <c r="BM47">
        <v>0</v>
      </c>
      <c r="BN47">
        <v>4</v>
      </c>
      <c r="BO47">
        <v>34</v>
      </c>
      <c r="BP47">
        <v>31</v>
      </c>
      <c r="BQ47">
        <v>0</v>
      </c>
      <c r="BR47">
        <v>0</v>
      </c>
      <c r="BS47">
        <v>0</v>
      </c>
      <c r="BT47">
        <v>0</v>
      </c>
      <c r="BU47">
        <v>3</v>
      </c>
      <c r="BV47">
        <v>0</v>
      </c>
      <c r="BW47">
        <v>0</v>
      </c>
      <c r="BX47">
        <v>0</v>
      </c>
      <c r="BY47">
        <v>0</v>
      </c>
      <c r="BZ47">
        <v>34</v>
      </c>
      <c r="CA47">
        <v>1</v>
      </c>
      <c r="CB47">
        <v>0</v>
      </c>
      <c r="CC47">
        <v>0</v>
      </c>
      <c r="CD47">
        <v>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1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2</v>
      </c>
      <c r="CZ47">
        <v>1</v>
      </c>
      <c r="DA47">
        <v>0</v>
      </c>
      <c r="DB47">
        <v>0</v>
      </c>
      <c r="DC47">
        <v>0</v>
      </c>
      <c r="DD47">
        <v>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2</v>
      </c>
      <c r="DK47">
        <v>5</v>
      </c>
      <c r="DL47">
        <v>3</v>
      </c>
      <c r="DM47">
        <v>1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1</v>
      </c>
      <c r="DV47">
        <v>5</v>
      </c>
      <c r="DW47">
        <v>6</v>
      </c>
      <c r="DX47">
        <v>0</v>
      </c>
      <c r="DY47">
        <v>1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5</v>
      </c>
      <c r="EG47">
        <v>0</v>
      </c>
      <c r="EH47">
        <v>6</v>
      </c>
      <c r="EI47">
        <v>1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1</v>
      </c>
      <c r="EQ47">
        <v>0</v>
      </c>
      <c r="ER47">
        <v>1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</row>
    <row r="48" spans="1:172" ht="14.25">
      <c r="A48">
        <v>43</v>
      </c>
      <c r="B48" t="str">
        <f>"100205"</f>
        <v>100205</v>
      </c>
      <c r="C48" t="str">
        <f>"Krzyżanów"</f>
        <v>Krzyżanów</v>
      </c>
      <c r="D48" t="str">
        <f t="shared" si="6"/>
        <v>kutnowski</v>
      </c>
      <c r="E48" t="str">
        <f t="shared" si="3"/>
        <v>łódzkie</v>
      </c>
      <c r="F48">
        <v>1</v>
      </c>
      <c r="G48" t="str">
        <f>"Urząd Gminy, Krzyżanów 10, 99- 314 Krzyżanów"</f>
        <v>Urząd Gminy, Krzyżanów 10, 99- 314 Krzyżanów</v>
      </c>
      <c r="H48">
        <v>1258</v>
      </c>
      <c r="I48">
        <v>1258</v>
      </c>
      <c r="J48">
        <v>0</v>
      </c>
      <c r="K48">
        <v>890</v>
      </c>
      <c r="L48">
        <v>704</v>
      </c>
      <c r="M48">
        <v>186</v>
      </c>
      <c r="N48">
        <v>186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186</v>
      </c>
      <c r="Z48">
        <v>0</v>
      </c>
      <c r="AA48">
        <v>0</v>
      </c>
      <c r="AB48">
        <v>186</v>
      </c>
      <c r="AC48">
        <v>2</v>
      </c>
      <c r="AD48">
        <v>184</v>
      </c>
      <c r="AE48">
        <v>36</v>
      </c>
      <c r="AF48">
        <v>33</v>
      </c>
      <c r="AG48">
        <v>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2</v>
      </c>
      <c r="AO48">
        <v>0</v>
      </c>
      <c r="AP48">
        <v>36</v>
      </c>
      <c r="AQ48">
        <v>1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1</v>
      </c>
      <c r="BC48">
        <v>8</v>
      </c>
      <c r="BD48">
        <v>2</v>
      </c>
      <c r="BE48">
        <v>5</v>
      </c>
      <c r="BF48">
        <v>0</v>
      </c>
      <c r="BG48">
        <v>1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8</v>
      </c>
      <c r="BO48">
        <v>70</v>
      </c>
      <c r="BP48">
        <v>64</v>
      </c>
      <c r="BQ48">
        <v>3</v>
      </c>
      <c r="BR48">
        <v>1</v>
      </c>
      <c r="BS48">
        <v>1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1</v>
      </c>
      <c r="BZ48">
        <v>70</v>
      </c>
      <c r="CA48">
        <v>2</v>
      </c>
      <c r="CB48">
        <v>2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2</v>
      </c>
      <c r="CM48">
        <v>2</v>
      </c>
      <c r="CN48">
        <v>2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2</v>
      </c>
      <c r="CY48">
        <v>7</v>
      </c>
      <c r="CZ48">
        <v>5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1</v>
      </c>
      <c r="DH48">
        <v>0</v>
      </c>
      <c r="DI48">
        <v>1</v>
      </c>
      <c r="DJ48">
        <v>7</v>
      </c>
      <c r="DK48">
        <v>27</v>
      </c>
      <c r="DL48">
        <v>19</v>
      </c>
      <c r="DM48">
        <v>5</v>
      </c>
      <c r="DN48">
        <v>0</v>
      </c>
      <c r="DO48">
        <v>0</v>
      </c>
      <c r="DP48">
        <v>1</v>
      </c>
      <c r="DQ48">
        <v>0</v>
      </c>
      <c r="DR48">
        <v>0</v>
      </c>
      <c r="DS48">
        <v>0</v>
      </c>
      <c r="DT48">
        <v>1</v>
      </c>
      <c r="DU48">
        <v>1</v>
      </c>
      <c r="DV48">
        <v>27</v>
      </c>
      <c r="DW48">
        <v>26</v>
      </c>
      <c r="DX48">
        <v>8</v>
      </c>
      <c r="DY48">
        <v>1</v>
      </c>
      <c r="DZ48">
        <v>0</v>
      </c>
      <c r="EA48">
        <v>5</v>
      </c>
      <c r="EB48">
        <v>2</v>
      </c>
      <c r="EC48">
        <v>0</v>
      </c>
      <c r="ED48">
        <v>0</v>
      </c>
      <c r="EE48">
        <v>1</v>
      </c>
      <c r="EF48">
        <v>9</v>
      </c>
      <c r="EG48">
        <v>0</v>
      </c>
      <c r="EH48">
        <v>26</v>
      </c>
      <c r="EI48">
        <v>2</v>
      </c>
      <c r="EJ48">
        <v>0</v>
      </c>
      <c r="EK48">
        <v>2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2</v>
      </c>
      <c r="ES48">
        <v>3</v>
      </c>
      <c r="ET48">
        <v>1</v>
      </c>
      <c r="EU48">
        <v>1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1</v>
      </c>
      <c r="FB48">
        <v>0</v>
      </c>
      <c r="FC48">
        <v>0</v>
      </c>
      <c r="FD48">
        <v>3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</row>
    <row r="49" spans="1:172" ht="14.25">
      <c r="A49">
        <v>44</v>
      </c>
      <c r="B49" t="str">
        <f>"100205"</f>
        <v>100205</v>
      </c>
      <c r="C49" t="str">
        <f>"Krzyżanów"</f>
        <v>Krzyżanów</v>
      </c>
      <c r="D49" t="str">
        <f t="shared" si="6"/>
        <v>kutnowski</v>
      </c>
      <c r="E49" t="str">
        <f t="shared" si="3"/>
        <v>łódzkie</v>
      </c>
      <c r="F49">
        <v>2</v>
      </c>
      <c r="G49" t="str">
        <f>"Szkoła Podstawowa, Kaszewy Dworne 19, 99-314 Krzyżanów"</f>
        <v>Szkoła Podstawowa, Kaszewy Dworne 19, 99-314 Krzyżanów</v>
      </c>
      <c r="H49">
        <v>550</v>
      </c>
      <c r="I49">
        <v>550</v>
      </c>
      <c r="J49">
        <v>0</v>
      </c>
      <c r="K49">
        <v>390</v>
      </c>
      <c r="L49">
        <v>271</v>
      </c>
      <c r="M49">
        <v>119</v>
      </c>
      <c r="N49">
        <v>119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119</v>
      </c>
      <c r="Z49">
        <v>0</v>
      </c>
      <c r="AA49">
        <v>0</v>
      </c>
      <c r="AB49">
        <v>119</v>
      </c>
      <c r="AC49">
        <v>4</v>
      </c>
      <c r="AD49">
        <v>115</v>
      </c>
      <c r="AE49">
        <v>36</v>
      </c>
      <c r="AF49">
        <v>33</v>
      </c>
      <c r="AG49">
        <v>3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36</v>
      </c>
      <c r="AQ49">
        <v>2</v>
      </c>
      <c r="AR49">
        <v>2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2</v>
      </c>
      <c r="BC49">
        <v>6</v>
      </c>
      <c r="BD49">
        <v>2</v>
      </c>
      <c r="BE49">
        <v>1</v>
      </c>
      <c r="BF49">
        <v>3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6</v>
      </c>
      <c r="BO49">
        <v>55</v>
      </c>
      <c r="BP49">
        <v>52</v>
      </c>
      <c r="BQ49">
        <v>1</v>
      </c>
      <c r="BR49">
        <v>0</v>
      </c>
      <c r="BS49">
        <v>0</v>
      </c>
      <c r="BT49">
        <v>0</v>
      </c>
      <c r="BU49">
        <v>0</v>
      </c>
      <c r="BV49">
        <v>1</v>
      </c>
      <c r="BW49">
        <v>0</v>
      </c>
      <c r="BX49">
        <v>0</v>
      </c>
      <c r="BY49">
        <v>1</v>
      </c>
      <c r="BZ49">
        <v>55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1</v>
      </c>
      <c r="CL49">
        <v>1</v>
      </c>
      <c r="CM49">
        <v>1</v>
      </c>
      <c r="CN49">
        <v>0</v>
      </c>
      <c r="CO49">
        <v>0</v>
      </c>
      <c r="CP49">
        <v>0</v>
      </c>
      <c r="CQ49">
        <v>1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1</v>
      </c>
      <c r="CY49">
        <v>6</v>
      </c>
      <c r="CZ49">
        <v>4</v>
      </c>
      <c r="DA49">
        <v>0</v>
      </c>
      <c r="DB49">
        <v>0</v>
      </c>
      <c r="DC49">
        <v>0</v>
      </c>
      <c r="DD49">
        <v>1</v>
      </c>
      <c r="DE49">
        <v>0</v>
      </c>
      <c r="DF49">
        <v>0</v>
      </c>
      <c r="DG49">
        <v>0</v>
      </c>
      <c r="DH49">
        <v>0</v>
      </c>
      <c r="DI49">
        <v>1</v>
      </c>
      <c r="DJ49">
        <v>6</v>
      </c>
      <c r="DK49">
        <v>3</v>
      </c>
      <c r="DL49">
        <v>2</v>
      </c>
      <c r="DM49">
        <v>1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3</v>
      </c>
      <c r="DW49">
        <v>5</v>
      </c>
      <c r="DX49">
        <v>2</v>
      </c>
      <c r="DY49">
        <v>1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2</v>
      </c>
      <c r="EG49">
        <v>0</v>
      </c>
      <c r="EH49">
        <v>5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</row>
    <row r="50" spans="1:172" ht="14.25">
      <c r="A50">
        <v>45</v>
      </c>
      <c r="B50" t="str">
        <f>"100205"</f>
        <v>100205</v>
      </c>
      <c r="C50" t="str">
        <f>"Krzyżanów"</f>
        <v>Krzyżanów</v>
      </c>
      <c r="D50" t="str">
        <f t="shared" si="6"/>
        <v>kutnowski</v>
      </c>
      <c r="E50" t="str">
        <f t="shared" si="3"/>
        <v>łódzkie</v>
      </c>
      <c r="F50">
        <v>3</v>
      </c>
      <c r="G50" t="str">
        <f>"Szkoła Podstawowa, Ktery 34, 99-314 Krzyżanów"</f>
        <v>Szkoła Podstawowa, Ktery 34, 99-314 Krzyżanów</v>
      </c>
      <c r="H50">
        <v>1011</v>
      </c>
      <c r="I50">
        <v>1011</v>
      </c>
      <c r="J50">
        <v>0</v>
      </c>
      <c r="K50">
        <v>710</v>
      </c>
      <c r="L50">
        <v>545</v>
      </c>
      <c r="M50">
        <v>165</v>
      </c>
      <c r="N50">
        <v>165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165</v>
      </c>
      <c r="Z50">
        <v>0</v>
      </c>
      <c r="AA50">
        <v>0</v>
      </c>
      <c r="AB50">
        <v>165</v>
      </c>
      <c r="AC50">
        <v>14</v>
      </c>
      <c r="AD50">
        <v>151</v>
      </c>
      <c r="AE50">
        <v>60</v>
      </c>
      <c r="AF50">
        <v>59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1</v>
      </c>
      <c r="AO50">
        <v>0</v>
      </c>
      <c r="AP50">
        <v>60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9</v>
      </c>
      <c r="BD50">
        <v>6</v>
      </c>
      <c r="BE50">
        <v>1</v>
      </c>
      <c r="BF50">
        <v>0</v>
      </c>
      <c r="BG50">
        <v>0</v>
      </c>
      <c r="BH50">
        <v>0</v>
      </c>
      <c r="BI50">
        <v>1</v>
      </c>
      <c r="BJ50">
        <v>0</v>
      </c>
      <c r="BK50">
        <v>0</v>
      </c>
      <c r="BL50">
        <v>1</v>
      </c>
      <c r="BM50">
        <v>0</v>
      </c>
      <c r="BN50">
        <v>9</v>
      </c>
      <c r="BO50">
        <v>58</v>
      </c>
      <c r="BP50">
        <v>56</v>
      </c>
      <c r="BQ50">
        <v>0</v>
      </c>
      <c r="BR50">
        <v>1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1</v>
      </c>
      <c r="BY50">
        <v>0</v>
      </c>
      <c r="BZ50">
        <v>58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6</v>
      </c>
      <c r="CZ50">
        <v>3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</v>
      </c>
      <c r="DG50">
        <v>0</v>
      </c>
      <c r="DH50">
        <v>0</v>
      </c>
      <c r="DI50">
        <v>2</v>
      </c>
      <c r="DJ50">
        <v>6</v>
      </c>
      <c r="DK50">
        <v>8</v>
      </c>
      <c r="DL50">
        <v>5</v>
      </c>
      <c r="DM50">
        <v>2</v>
      </c>
      <c r="DN50">
        <v>0</v>
      </c>
      <c r="DO50">
        <v>0</v>
      </c>
      <c r="DP50">
        <v>1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8</v>
      </c>
      <c r="DW50">
        <v>9</v>
      </c>
      <c r="DX50">
        <v>0</v>
      </c>
      <c r="DY50">
        <v>0</v>
      </c>
      <c r="DZ50">
        <v>0</v>
      </c>
      <c r="EA50">
        <v>2</v>
      </c>
      <c r="EB50">
        <v>0</v>
      </c>
      <c r="EC50">
        <v>1</v>
      </c>
      <c r="ED50">
        <v>0</v>
      </c>
      <c r="EE50">
        <v>0</v>
      </c>
      <c r="EF50">
        <v>5</v>
      </c>
      <c r="EG50">
        <v>1</v>
      </c>
      <c r="EH50">
        <v>9</v>
      </c>
      <c r="EI50">
        <v>1</v>
      </c>
      <c r="EJ50">
        <v>0</v>
      </c>
      <c r="EK50">
        <v>1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1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</row>
    <row r="51" spans="1:172" ht="14.25">
      <c r="A51">
        <v>46</v>
      </c>
      <c r="B51" t="str">
        <f>"100205"</f>
        <v>100205</v>
      </c>
      <c r="C51" t="str">
        <f>"Krzyżanów"</f>
        <v>Krzyżanów</v>
      </c>
      <c r="D51" t="str">
        <f t="shared" si="6"/>
        <v>kutnowski</v>
      </c>
      <c r="E51" t="str">
        <f t="shared" si="3"/>
        <v>łódzkie</v>
      </c>
      <c r="F51">
        <v>4</v>
      </c>
      <c r="G51" t="str">
        <f>"Remiza Ochotniczej Straży Pożarnej, Wały B 27a, 99-314 Krzyżanów"</f>
        <v>Remiza Ochotniczej Straży Pożarnej, Wały B 27a, 99-314 Krzyżanów</v>
      </c>
      <c r="H51">
        <v>767</v>
      </c>
      <c r="I51">
        <v>767</v>
      </c>
      <c r="J51">
        <v>0</v>
      </c>
      <c r="K51">
        <v>540</v>
      </c>
      <c r="L51">
        <v>385</v>
      </c>
      <c r="M51">
        <v>155</v>
      </c>
      <c r="N51">
        <v>155</v>
      </c>
      <c r="O51">
        <v>0</v>
      </c>
      <c r="P51">
        <v>0</v>
      </c>
      <c r="Q51">
        <v>3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155</v>
      </c>
      <c r="Z51">
        <v>0</v>
      </c>
      <c r="AA51">
        <v>0</v>
      </c>
      <c r="AB51">
        <v>155</v>
      </c>
      <c r="AC51">
        <v>8</v>
      </c>
      <c r="AD51">
        <v>147</v>
      </c>
      <c r="AE51">
        <v>45</v>
      </c>
      <c r="AF51">
        <v>44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1</v>
      </c>
      <c r="AP51">
        <v>45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2</v>
      </c>
      <c r="BD51">
        <v>1</v>
      </c>
      <c r="BE51">
        <v>1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2</v>
      </c>
      <c r="BO51">
        <v>50</v>
      </c>
      <c r="BP51">
        <v>45</v>
      </c>
      <c r="BQ51">
        <v>3</v>
      </c>
      <c r="BR51">
        <v>1</v>
      </c>
      <c r="BS51">
        <v>1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50</v>
      </c>
      <c r="CA51">
        <v>1</v>
      </c>
      <c r="CB51">
        <v>0</v>
      </c>
      <c r="CC51">
        <v>0</v>
      </c>
      <c r="CD51">
        <v>0</v>
      </c>
      <c r="CE51">
        <v>0</v>
      </c>
      <c r="CF51">
        <v>1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1</v>
      </c>
      <c r="CM51">
        <v>3</v>
      </c>
      <c r="CN51">
        <v>2</v>
      </c>
      <c r="CO51">
        <v>0</v>
      </c>
      <c r="CP51">
        <v>0</v>
      </c>
      <c r="CQ51">
        <v>1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3</v>
      </c>
      <c r="CY51">
        <v>5</v>
      </c>
      <c r="CZ51">
        <v>2</v>
      </c>
      <c r="DA51">
        <v>0</v>
      </c>
      <c r="DB51">
        <v>1</v>
      </c>
      <c r="DC51">
        <v>0</v>
      </c>
      <c r="DD51">
        <v>0</v>
      </c>
      <c r="DE51">
        <v>0</v>
      </c>
      <c r="DF51">
        <v>0</v>
      </c>
      <c r="DG51">
        <v>1</v>
      </c>
      <c r="DH51">
        <v>0</v>
      </c>
      <c r="DI51">
        <v>1</v>
      </c>
      <c r="DJ51">
        <v>5</v>
      </c>
      <c r="DK51">
        <v>16</v>
      </c>
      <c r="DL51">
        <v>12</v>
      </c>
      <c r="DM51">
        <v>3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1</v>
      </c>
      <c r="DT51">
        <v>0</v>
      </c>
      <c r="DU51">
        <v>0</v>
      </c>
      <c r="DV51">
        <v>16</v>
      </c>
      <c r="DW51">
        <v>23</v>
      </c>
      <c r="DX51">
        <v>8</v>
      </c>
      <c r="DY51">
        <v>3</v>
      </c>
      <c r="DZ51">
        <v>0</v>
      </c>
      <c r="EA51">
        <v>3</v>
      </c>
      <c r="EB51">
        <v>4</v>
      </c>
      <c r="EC51">
        <v>0</v>
      </c>
      <c r="ED51">
        <v>2</v>
      </c>
      <c r="EE51">
        <v>0</v>
      </c>
      <c r="EF51">
        <v>3</v>
      </c>
      <c r="EG51">
        <v>0</v>
      </c>
      <c r="EH51">
        <v>23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1</v>
      </c>
      <c r="ET51">
        <v>0</v>
      </c>
      <c r="EU51">
        <v>1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1</v>
      </c>
      <c r="FE51">
        <v>1</v>
      </c>
      <c r="FF51">
        <v>0</v>
      </c>
      <c r="FG51">
        <v>1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1</v>
      </c>
    </row>
    <row r="52" spans="1:172" ht="14.25">
      <c r="A52">
        <v>47</v>
      </c>
      <c r="B52" t="str">
        <f aca="true" t="shared" si="9" ref="B52:B59">"100206"</f>
        <v>100206</v>
      </c>
      <c r="C52" t="str">
        <f aca="true" t="shared" si="10" ref="C52:C59">"Kutno"</f>
        <v>Kutno</v>
      </c>
      <c r="D52" t="str">
        <f t="shared" si="6"/>
        <v>kutnowski</v>
      </c>
      <c r="E52" t="str">
        <f t="shared" si="3"/>
        <v>łódzkie</v>
      </c>
      <c r="F52">
        <v>1</v>
      </c>
      <c r="G52" t="str">
        <f>"Szkoła Podstawowa, Strzegocin 4, 99-300 Kutno"</f>
        <v>Szkoła Podstawowa, Strzegocin 4, 99-300 Kutno</v>
      </c>
      <c r="H52">
        <v>918</v>
      </c>
      <c r="I52">
        <v>918</v>
      </c>
      <c r="J52">
        <v>0</v>
      </c>
      <c r="K52">
        <v>650</v>
      </c>
      <c r="L52">
        <v>535</v>
      </c>
      <c r="M52">
        <v>115</v>
      </c>
      <c r="N52">
        <v>115</v>
      </c>
      <c r="O52">
        <v>0</v>
      </c>
      <c r="P52">
        <v>0</v>
      </c>
      <c r="Q52">
        <v>2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115</v>
      </c>
      <c r="Z52">
        <v>0</v>
      </c>
      <c r="AA52">
        <v>0</v>
      </c>
      <c r="AB52">
        <v>115</v>
      </c>
      <c r="AC52">
        <v>4</v>
      </c>
      <c r="AD52">
        <v>111</v>
      </c>
      <c r="AE52">
        <v>12</v>
      </c>
      <c r="AF52">
        <v>11</v>
      </c>
      <c r="AG52">
        <v>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12</v>
      </c>
      <c r="AQ52">
        <v>6</v>
      </c>
      <c r="AR52">
        <v>3</v>
      </c>
      <c r="AS52">
        <v>0</v>
      </c>
      <c r="AT52">
        <v>0</v>
      </c>
      <c r="AU52">
        <v>0</v>
      </c>
      <c r="AV52">
        <v>1</v>
      </c>
      <c r="AW52">
        <v>1</v>
      </c>
      <c r="AX52">
        <v>1</v>
      </c>
      <c r="AY52">
        <v>0</v>
      </c>
      <c r="AZ52">
        <v>0</v>
      </c>
      <c r="BA52">
        <v>0</v>
      </c>
      <c r="BB52">
        <v>6</v>
      </c>
      <c r="BC52">
        <v>4</v>
      </c>
      <c r="BD52">
        <v>0</v>
      </c>
      <c r="BE52">
        <v>0</v>
      </c>
      <c r="BF52">
        <v>1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3</v>
      </c>
      <c r="BM52">
        <v>0</v>
      </c>
      <c r="BN52">
        <v>4</v>
      </c>
      <c r="BO52">
        <v>62</v>
      </c>
      <c r="BP52">
        <v>57</v>
      </c>
      <c r="BQ52">
        <v>4</v>
      </c>
      <c r="BR52">
        <v>0</v>
      </c>
      <c r="BS52">
        <v>1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62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1</v>
      </c>
      <c r="CN52">
        <v>0</v>
      </c>
      <c r="CO52">
        <v>0</v>
      </c>
      <c r="CP52">
        <v>0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1</v>
      </c>
      <c r="CY52">
        <v>2</v>
      </c>
      <c r="CZ52">
        <v>0</v>
      </c>
      <c r="DA52">
        <v>0</v>
      </c>
      <c r="DB52">
        <v>0</v>
      </c>
      <c r="DC52">
        <v>1</v>
      </c>
      <c r="DD52">
        <v>0</v>
      </c>
      <c r="DE52">
        <v>0</v>
      </c>
      <c r="DF52">
        <v>0</v>
      </c>
      <c r="DG52">
        <v>0</v>
      </c>
      <c r="DH52">
        <v>1</v>
      </c>
      <c r="DI52">
        <v>0</v>
      </c>
      <c r="DJ52">
        <v>2</v>
      </c>
      <c r="DK52">
        <v>14</v>
      </c>
      <c r="DL52">
        <v>8</v>
      </c>
      <c r="DM52">
        <v>3</v>
      </c>
      <c r="DN52">
        <v>0</v>
      </c>
      <c r="DO52">
        <v>1</v>
      </c>
      <c r="DP52">
        <v>0</v>
      </c>
      <c r="DQ52">
        <v>0</v>
      </c>
      <c r="DR52">
        <v>1</v>
      </c>
      <c r="DS52">
        <v>1</v>
      </c>
      <c r="DT52">
        <v>0</v>
      </c>
      <c r="DU52">
        <v>0</v>
      </c>
      <c r="DV52">
        <v>14</v>
      </c>
      <c r="DW52">
        <v>8</v>
      </c>
      <c r="DX52">
        <v>3</v>
      </c>
      <c r="DY52">
        <v>1</v>
      </c>
      <c r="DZ52">
        <v>0</v>
      </c>
      <c r="EA52">
        <v>0</v>
      </c>
      <c r="EB52">
        <v>0</v>
      </c>
      <c r="EC52">
        <v>0</v>
      </c>
      <c r="ED52">
        <v>1</v>
      </c>
      <c r="EE52">
        <v>1</v>
      </c>
      <c r="EF52">
        <v>2</v>
      </c>
      <c r="EG52">
        <v>0</v>
      </c>
      <c r="EH52">
        <v>8</v>
      </c>
      <c r="EI52">
        <v>2</v>
      </c>
      <c r="EJ52">
        <v>1</v>
      </c>
      <c r="EK52">
        <v>1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2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</row>
    <row r="53" spans="1:172" ht="14.25">
      <c r="A53">
        <v>48</v>
      </c>
      <c r="B53" t="str">
        <f t="shared" si="9"/>
        <v>100206</v>
      </c>
      <c r="C53" t="str">
        <f t="shared" si="10"/>
        <v>Kutno</v>
      </c>
      <c r="D53" t="str">
        <f t="shared" si="6"/>
        <v>kutnowski</v>
      </c>
      <c r="E53" t="str">
        <f t="shared" si="3"/>
        <v>łódzkie</v>
      </c>
      <c r="F53">
        <v>2</v>
      </c>
      <c r="G53" t="str">
        <f>"Ośrodek Kultury Gminy Kutno, Leszczynek 49a, 99-300 Kutno"</f>
        <v>Ośrodek Kultury Gminy Kutno, Leszczynek 49a, 99-300 Kutno</v>
      </c>
      <c r="H53">
        <v>1429</v>
      </c>
      <c r="I53">
        <v>1429</v>
      </c>
      <c r="J53">
        <v>0</v>
      </c>
      <c r="K53">
        <v>1010</v>
      </c>
      <c r="L53">
        <v>754</v>
      </c>
      <c r="M53">
        <v>256</v>
      </c>
      <c r="N53">
        <v>256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256</v>
      </c>
      <c r="Z53">
        <v>0</v>
      </c>
      <c r="AA53">
        <v>0</v>
      </c>
      <c r="AB53">
        <v>256</v>
      </c>
      <c r="AC53">
        <v>18</v>
      </c>
      <c r="AD53">
        <v>238</v>
      </c>
      <c r="AE53">
        <v>22</v>
      </c>
      <c r="AF53">
        <v>18</v>
      </c>
      <c r="AG53">
        <v>0</v>
      </c>
      <c r="AH53">
        <v>1</v>
      </c>
      <c r="AI53">
        <v>1</v>
      </c>
      <c r="AJ53">
        <v>1</v>
      </c>
      <c r="AK53">
        <v>0</v>
      </c>
      <c r="AL53">
        <v>0</v>
      </c>
      <c r="AM53">
        <v>1</v>
      </c>
      <c r="AN53">
        <v>0</v>
      </c>
      <c r="AO53">
        <v>0</v>
      </c>
      <c r="AP53">
        <v>22</v>
      </c>
      <c r="AQ53">
        <v>4</v>
      </c>
      <c r="AR53">
        <v>4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4</v>
      </c>
      <c r="BC53">
        <v>9</v>
      </c>
      <c r="BD53">
        <v>1</v>
      </c>
      <c r="BE53">
        <v>5</v>
      </c>
      <c r="BF53">
        <v>0</v>
      </c>
      <c r="BG53">
        <v>1</v>
      </c>
      <c r="BH53">
        <v>0</v>
      </c>
      <c r="BI53">
        <v>1</v>
      </c>
      <c r="BJ53">
        <v>0</v>
      </c>
      <c r="BK53">
        <v>0</v>
      </c>
      <c r="BL53">
        <v>1</v>
      </c>
      <c r="BM53">
        <v>0</v>
      </c>
      <c r="BN53">
        <v>9</v>
      </c>
      <c r="BO53">
        <v>108</v>
      </c>
      <c r="BP53">
        <v>83</v>
      </c>
      <c r="BQ53">
        <v>1</v>
      </c>
      <c r="BR53">
        <v>0</v>
      </c>
      <c r="BS53">
        <v>7</v>
      </c>
      <c r="BT53">
        <v>0</v>
      </c>
      <c r="BU53">
        <v>0</v>
      </c>
      <c r="BV53">
        <v>0</v>
      </c>
      <c r="BW53">
        <v>1</v>
      </c>
      <c r="BX53">
        <v>0</v>
      </c>
      <c r="BY53">
        <v>16</v>
      </c>
      <c r="BZ53">
        <v>108</v>
      </c>
      <c r="CA53">
        <v>3</v>
      </c>
      <c r="CB53">
        <v>1</v>
      </c>
      <c r="CC53">
        <v>1</v>
      </c>
      <c r="CD53">
        <v>0</v>
      </c>
      <c r="CE53">
        <v>0</v>
      </c>
      <c r="CF53">
        <v>0</v>
      </c>
      <c r="CG53">
        <v>0</v>
      </c>
      <c r="CH53">
        <v>1</v>
      </c>
      <c r="CI53">
        <v>0</v>
      </c>
      <c r="CJ53">
        <v>0</v>
      </c>
      <c r="CK53">
        <v>0</v>
      </c>
      <c r="CL53">
        <v>3</v>
      </c>
      <c r="CM53">
        <v>2</v>
      </c>
      <c r="CN53">
        <v>2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2</v>
      </c>
      <c r="CY53">
        <v>18</v>
      </c>
      <c r="CZ53">
        <v>10</v>
      </c>
      <c r="DA53">
        <v>3</v>
      </c>
      <c r="DB53">
        <v>1</v>
      </c>
      <c r="DC53">
        <v>1</v>
      </c>
      <c r="DD53">
        <v>0</v>
      </c>
      <c r="DE53">
        <v>0</v>
      </c>
      <c r="DF53">
        <v>0</v>
      </c>
      <c r="DG53">
        <v>0</v>
      </c>
      <c r="DH53">
        <v>2</v>
      </c>
      <c r="DI53">
        <v>1</v>
      </c>
      <c r="DJ53">
        <v>18</v>
      </c>
      <c r="DK53">
        <v>41</v>
      </c>
      <c r="DL53">
        <v>33</v>
      </c>
      <c r="DM53">
        <v>5</v>
      </c>
      <c r="DN53">
        <v>2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1</v>
      </c>
      <c r="DV53">
        <v>41</v>
      </c>
      <c r="DW53">
        <v>28</v>
      </c>
      <c r="DX53">
        <v>8</v>
      </c>
      <c r="DY53">
        <v>5</v>
      </c>
      <c r="DZ53">
        <v>0</v>
      </c>
      <c r="EA53">
        <v>10</v>
      </c>
      <c r="EB53">
        <v>2</v>
      </c>
      <c r="EC53">
        <v>2</v>
      </c>
      <c r="ED53">
        <v>0</v>
      </c>
      <c r="EE53">
        <v>1</v>
      </c>
      <c r="EF53">
        <v>0</v>
      </c>
      <c r="EG53">
        <v>0</v>
      </c>
      <c r="EH53">
        <v>28</v>
      </c>
      <c r="EI53">
        <v>1</v>
      </c>
      <c r="EJ53">
        <v>0</v>
      </c>
      <c r="EK53">
        <v>1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1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2</v>
      </c>
      <c r="FF53">
        <v>1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1</v>
      </c>
      <c r="FP53">
        <v>2</v>
      </c>
    </row>
    <row r="54" spans="1:172" ht="14.25">
      <c r="A54">
        <v>49</v>
      </c>
      <c r="B54" t="str">
        <f t="shared" si="9"/>
        <v>100206</v>
      </c>
      <c r="C54" t="str">
        <f t="shared" si="10"/>
        <v>Kutno</v>
      </c>
      <c r="D54" t="str">
        <f t="shared" si="6"/>
        <v>kutnowski</v>
      </c>
      <c r="E54" t="str">
        <f t="shared" si="3"/>
        <v>łódzkie</v>
      </c>
      <c r="F54">
        <v>3</v>
      </c>
      <c r="G54" t="str">
        <f>"Szkoła Podstawowa, Wroczyny 59A, 99-300 Kutno"</f>
        <v>Szkoła Podstawowa, Wroczyny 59A, 99-300 Kutno</v>
      </c>
      <c r="H54">
        <v>490</v>
      </c>
      <c r="I54">
        <v>490</v>
      </c>
      <c r="J54">
        <v>0</v>
      </c>
      <c r="K54">
        <v>350</v>
      </c>
      <c r="L54">
        <v>259</v>
      </c>
      <c r="M54">
        <v>91</v>
      </c>
      <c r="N54">
        <v>91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91</v>
      </c>
      <c r="Z54">
        <v>0</v>
      </c>
      <c r="AA54">
        <v>0</v>
      </c>
      <c r="AB54">
        <v>91</v>
      </c>
      <c r="AC54">
        <v>4</v>
      </c>
      <c r="AD54">
        <v>87</v>
      </c>
      <c r="AE54">
        <v>6</v>
      </c>
      <c r="AF54">
        <v>6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6</v>
      </c>
      <c r="AQ54">
        <v>2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1</v>
      </c>
      <c r="AY54">
        <v>0</v>
      </c>
      <c r="AZ54">
        <v>1</v>
      </c>
      <c r="BA54">
        <v>0</v>
      </c>
      <c r="BB54">
        <v>2</v>
      </c>
      <c r="BC54">
        <v>4</v>
      </c>
      <c r="BD54">
        <v>2</v>
      </c>
      <c r="BE54">
        <v>1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1</v>
      </c>
      <c r="BM54">
        <v>0</v>
      </c>
      <c r="BN54">
        <v>4</v>
      </c>
      <c r="BO54">
        <v>58</v>
      </c>
      <c r="BP54">
        <v>53</v>
      </c>
      <c r="BQ54">
        <v>0</v>
      </c>
      <c r="BR54">
        <v>0</v>
      </c>
      <c r="BS54">
        <v>3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2</v>
      </c>
      <c r="BZ54">
        <v>58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2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1</v>
      </c>
      <c r="CT54">
        <v>0</v>
      </c>
      <c r="CU54">
        <v>0</v>
      </c>
      <c r="CV54">
        <v>0</v>
      </c>
      <c r="CW54">
        <v>0</v>
      </c>
      <c r="CX54">
        <v>2</v>
      </c>
      <c r="CY54">
        <v>4</v>
      </c>
      <c r="CZ54">
        <v>3</v>
      </c>
      <c r="DA54">
        <v>1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4</v>
      </c>
      <c r="DK54">
        <v>6</v>
      </c>
      <c r="DL54">
        <v>3</v>
      </c>
      <c r="DM54">
        <v>1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1</v>
      </c>
      <c r="DU54">
        <v>1</v>
      </c>
      <c r="DV54">
        <v>6</v>
      </c>
      <c r="DW54">
        <v>3</v>
      </c>
      <c r="DX54">
        <v>1</v>
      </c>
      <c r="DY54">
        <v>0</v>
      </c>
      <c r="DZ54">
        <v>0</v>
      </c>
      <c r="EA54">
        <v>1</v>
      </c>
      <c r="EB54">
        <v>0</v>
      </c>
      <c r="EC54">
        <v>0</v>
      </c>
      <c r="ED54">
        <v>1</v>
      </c>
      <c r="EE54">
        <v>0</v>
      </c>
      <c r="EF54">
        <v>0</v>
      </c>
      <c r="EG54">
        <v>0</v>
      </c>
      <c r="EH54">
        <v>3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1</v>
      </c>
      <c r="ET54">
        <v>0</v>
      </c>
      <c r="EU54">
        <v>1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1</v>
      </c>
      <c r="FE54">
        <v>1</v>
      </c>
      <c r="FF54">
        <v>0</v>
      </c>
      <c r="FG54">
        <v>0</v>
      </c>
      <c r="FH54">
        <v>0</v>
      </c>
      <c r="FI54">
        <v>1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1</v>
      </c>
    </row>
    <row r="55" spans="1:172" ht="14.25">
      <c r="A55">
        <v>50</v>
      </c>
      <c r="B55" t="str">
        <f t="shared" si="9"/>
        <v>100206</v>
      </c>
      <c r="C55" t="str">
        <f t="shared" si="10"/>
        <v>Kutno</v>
      </c>
      <c r="D55" t="str">
        <f t="shared" si="6"/>
        <v>kutnowski</v>
      </c>
      <c r="E55" t="str">
        <f t="shared" si="3"/>
        <v>łódzkie</v>
      </c>
      <c r="F55">
        <v>4</v>
      </c>
      <c r="G55" t="str">
        <f>"Zespół Szkół, Gołębiewek Nowy 54, 99-300 Kutno"</f>
        <v>Zespół Szkół, Gołębiewek Nowy 54, 99-300 Kutno</v>
      </c>
      <c r="H55">
        <v>769</v>
      </c>
      <c r="I55">
        <v>769</v>
      </c>
      <c r="J55">
        <v>0</v>
      </c>
      <c r="K55">
        <v>540</v>
      </c>
      <c r="L55">
        <v>404</v>
      </c>
      <c r="M55">
        <v>136</v>
      </c>
      <c r="N55">
        <v>136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136</v>
      </c>
      <c r="Z55">
        <v>0</v>
      </c>
      <c r="AA55">
        <v>0</v>
      </c>
      <c r="AB55">
        <v>136</v>
      </c>
      <c r="AC55">
        <v>5</v>
      </c>
      <c r="AD55">
        <v>131</v>
      </c>
      <c r="AE55">
        <v>8</v>
      </c>
      <c r="AF55">
        <v>6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1</v>
      </c>
      <c r="AP55">
        <v>8</v>
      </c>
      <c r="AQ55">
        <v>1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1</v>
      </c>
      <c r="BC55">
        <v>5</v>
      </c>
      <c r="BD55">
        <v>4</v>
      </c>
      <c r="BE55">
        <v>1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5</v>
      </c>
      <c r="BO55">
        <v>77</v>
      </c>
      <c r="BP55">
        <v>71</v>
      </c>
      <c r="BQ55">
        <v>0</v>
      </c>
      <c r="BR55">
        <v>3</v>
      </c>
      <c r="BS55">
        <v>3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77</v>
      </c>
      <c r="CA55">
        <v>1</v>
      </c>
      <c r="CB55">
        <v>0</v>
      </c>
      <c r="CC55">
        <v>1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1</v>
      </c>
      <c r="CM55">
        <v>2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1</v>
      </c>
      <c r="CV55">
        <v>0</v>
      </c>
      <c r="CW55">
        <v>0</v>
      </c>
      <c r="CX55">
        <v>2</v>
      </c>
      <c r="CY55">
        <v>11</v>
      </c>
      <c r="CZ55">
        <v>9</v>
      </c>
      <c r="DA55">
        <v>1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1</v>
      </c>
      <c r="DJ55">
        <v>11</v>
      </c>
      <c r="DK55">
        <v>14</v>
      </c>
      <c r="DL55">
        <v>8</v>
      </c>
      <c r="DM55">
        <v>3</v>
      </c>
      <c r="DN55">
        <v>0</v>
      </c>
      <c r="DO55">
        <v>0</v>
      </c>
      <c r="DP55">
        <v>2</v>
      </c>
      <c r="DQ55">
        <v>0</v>
      </c>
      <c r="DR55">
        <v>0</v>
      </c>
      <c r="DS55">
        <v>0</v>
      </c>
      <c r="DT55">
        <v>0</v>
      </c>
      <c r="DU55">
        <v>1</v>
      </c>
      <c r="DV55">
        <v>14</v>
      </c>
      <c r="DW55">
        <v>10</v>
      </c>
      <c r="DX55">
        <v>4</v>
      </c>
      <c r="DY55">
        <v>0</v>
      </c>
      <c r="DZ55">
        <v>0</v>
      </c>
      <c r="EA55">
        <v>2</v>
      </c>
      <c r="EB55">
        <v>2</v>
      </c>
      <c r="EC55">
        <v>0</v>
      </c>
      <c r="ED55">
        <v>0</v>
      </c>
      <c r="EE55">
        <v>1</v>
      </c>
      <c r="EF55">
        <v>0</v>
      </c>
      <c r="EG55">
        <v>1</v>
      </c>
      <c r="EH55">
        <v>10</v>
      </c>
      <c r="EI55">
        <v>1</v>
      </c>
      <c r="EJ55">
        <v>1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1</v>
      </c>
      <c r="ES55">
        <v>1</v>
      </c>
      <c r="ET55">
        <v>0</v>
      </c>
      <c r="EU55">
        <v>1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1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</row>
    <row r="56" spans="1:172" ht="14.25">
      <c r="A56">
        <v>51</v>
      </c>
      <c r="B56" t="str">
        <f t="shared" si="9"/>
        <v>100206</v>
      </c>
      <c r="C56" t="str">
        <f t="shared" si="10"/>
        <v>Kutno</v>
      </c>
      <c r="D56" t="str">
        <f t="shared" si="6"/>
        <v>kutnowski</v>
      </c>
      <c r="E56" t="str">
        <f t="shared" si="3"/>
        <v>łódzkie</v>
      </c>
      <c r="F56">
        <v>5</v>
      </c>
      <c r="G56" t="str">
        <f>"Budynek po byłej Szkole Podstawowej, Gołębiew Stary 1, 99-300 Kutno"</f>
        <v>Budynek po byłej Szkole Podstawowej, Gołębiew Stary 1, 99-300 Kutno</v>
      </c>
      <c r="H56">
        <v>1428</v>
      </c>
      <c r="I56">
        <v>1428</v>
      </c>
      <c r="J56">
        <v>0</v>
      </c>
      <c r="K56">
        <v>1010</v>
      </c>
      <c r="L56">
        <v>736</v>
      </c>
      <c r="M56">
        <v>274</v>
      </c>
      <c r="N56">
        <v>274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274</v>
      </c>
      <c r="Z56">
        <v>0</v>
      </c>
      <c r="AA56">
        <v>0</v>
      </c>
      <c r="AB56">
        <v>274</v>
      </c>
      <c r="AC56">
        <v>8</v>
      </c>
      <c r="AD56">
        <v>266</v>
      </c>
      <c r="AE56">
        <v>21</v>
      </c>
      <c r="AF56">
        <v>20</v>
      </c>
      <c r="AG56">
        <v>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21</v>
      </c>
      <c r="AQ56">
        <v>2</v>
      </c>
      <c r="AR56">
        <v>2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2</v>
      </c>
      <c r="BC56">
        <v>12</v>
      </c>
      <c r="BD56">
        <v>3</v>
      </c>
      <c r="BE56">
        <v>2</v>
      </c>
      <c r="BF56">
        <v>0</v>
      </c>
      <c r="BG56">
        <v>0</v>
      </c>
      <c r="BH56">
        <v>0</v>
      </c>
      <c r="BI56">
        <v>1</v>
      </c>
      <c r="BJ56">
        <v>0</v>
      </c>
      <c r="BK56">
        <v>0</v>
      </c>
      <c r="BL56">
        <v>0</v>
      </c>
      <c r="BM56">
        <v>6</v>
      </c>
      <c r="BN56">
        <v>12</v>
      </c>
      <c r="BO56">
        <v>133</v>
      </c>
      <c r="BP56">
        <v>124</v>
      </c>
      <c r="BQ56">
        <v>2</v>
      </c>
      <c r="BR56">
        <v>1</v>
      </c>
      <c r="BS56">
        <v>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5</v>
      </c>
      <c r="BZ56">
        <v>133</v>
      </c>
      <c r="CA56">
        <v>3</v>
      </c>
      <c r="CB56">
        <v>1</v>
      </c>
      <c r="CC56">
        <v>0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0</v>
      </c>
      <c r="CJ56">
        <v>1</v>
      </c>
      <c r="CK56">
        <v>0</v>
      </c>
      <c r="CL56">
        <v>3</v>
      </c>
      <c r="CM56">
        <v>9</v>
      </c>
      <c r="CN56">
        <v>6</v>
      </c>
      <c r="CO56">
        <v>1</v>
      </c>
      <c r="CP56">
        <v>0</v>
      </c>
      <c r="CQ56">
        <v>0</v>
      </c>
      <c r="CR56">
        <v>1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9</v>
      </c>
      <c r="CY56">
        <v>13</v>
      </c>
      <c r="CZ56">
        <v>6</v>
      </c>
      <c r="DA56">
        <v>0</v>
      </c>
      <c r="DB56">
        <v>2</v>
      </c>
      <c r="DC56">
        <v>1</v>
      </c>
      <c r="DD56">
        <v>1</v>
      </c>
      <c r="DE56">
        <v>0</v>
      </c>
      <c r="DF56">
        <v>0</v>
      </c>
      <c r="DG56">
        <v>2</v>
      </c>
      <c r="DH56">
        <v>0</v>
      </c>
      <c r="DI56">
        <v>1</v>
      </c>
      <c r="DJ56">
        <v>13</v>
      </c>
      <c r="DK56">
        <v>46</v>
      </c>
      <c r="DL56">
        <v>33</v>
      </c>
      <c r="DM56">
        <v>6</v>
      </c>
      <c r="DN56">
        <v>0</v>
      </c>
      <c r="DO56">
        <v>1</v>
      </c>
      <c r="DP56">
        <v>3</v>
      </c>
      <c r="DQ56">
        <v>2</v>
      </c>
      <c r="DR56">
        <v>0</v>
      </c>
      <c r="DS56">
        <v>1</v>
      </c>
      <c r="DT56">
        <v>0</v>
      </c>
      <c r="DU56">
        <v>0</v>
      </c>
      <c r="DV56">
        <v>46</v>
      </c>
      <c r="DW56">
        <v>20</v>
      </c>
      <c r="DX56">
        <v>4</v>
      </c>
      <c r="DY56">
        <v>3</v>
      </c>
      <c r="DZ56">
        <v>0</v>
      </c>
      <c r="EA56">
        <v>8</v>
      </c>
      <c r="EB56">
        <v>0</v>
      </c>
      <c r="EC56">
        <v>2</v>
      </c>
      <c r="ED56">
        <v>1</v>
      </c>
      <c r="EE56">
        <v>1</v>
      </c>
      <c r="EF56">
        <v>1</v>
      </c>
      <c r="EG56">
        <v>0</v>
      </c>
      <c r="EH56">
        <v>20</v>
      </c>
      <c r="EI56">
        <v>4</v>
      </c>
      <c r="EJ56">
        <v>1</v>
      </c>
      <c r="EK56">
        <v>3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4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3</v>
      </c>
      <c r="FF56">
        <v>0</v>
      </c>
      <c r="FG56">
        <v>0</v>
      </c>
      <c r="FH56">
        <v>1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2</v>
      </c>
      <c r="FP56">
        <v>3</v>
      </c>
    </row>
    <row r="57" spans="1:172" ht="14.25">
      <c r="A57">
        <v>52</v>
      </c>
      <c r="B57" t="str">
        <f t="shared" si="9"/>
        <v>100206</v>
      </c>
      <c r="C57" t="str">
        <f t="shared" si="10"/>
        <v>Kutno</v>
      </c>
      <c r="D57" t="str">
        <f t="shared" si="6"/>
        <v>kutnowski</v>
      </c>
      <c r="E57" t="str">
        <f t="shared" si="3"/>
        <v>łódzkie</v>
      </c>
      <c r="F57">
        <v>6</v>
      </c>
      <c r="G57" t="str">
        <f>"Katolicka Szkoła Podstawowa SPSK, Wierzbie 34, 99-300 Kutno"</f>
        <v>Katolicka Szkoła Podstawowa SPSK, Wierzbie 34, 99-300 Kutno</v>
      </c>
      <c r="H57">
        <v>565</v>
      </c>
      <c r="I57">
        <v>565</v>
      </c>
      <c r="J57">
        <v>0</v>
      </c>
      <c r="K57">
        <v>400</v>
      </c>
      <c r="L57">
        <v>290</v>
      </c>
      <c r="M57">
        <v>110</v>
      </c>
      <c r="N57">
        <v>110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110</v>
      </c>
      <c r="Z57">
        <v>0</v>
      </c>
      <c r="AA57">
        <v>0</v>
      </c>
      <c r="AB57">
        <v>110</v>
      </c>
      <c r="AC57">
        <v>3</v>
      </c>
      <c r="AD57">
        <v>107</v>
      </c>
      <c r="AE57">
        <v>21</v>
      </c>
      <c r="AF57">
        <v>17</v>
      </c>
      <c r="AG57">
        <v>0</v>
      </c>
      <c r="AH57">
        <v>3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1</v>
      </c>
      <c r="AP57">
        <v>21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4</v>
      </c>
      <c r="BD57">
        <v>2</v>
      </c>
      <c r="BE57">
        <v>2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4</v>
      </c>
      <c r="BO57">
        <v>54</v>
      </c>
      <c r="BP57">
        <v>51</v>
      </c>
      <c r="BQ57">
        <v>1</v>
      </c>
      <c r="BR57">
        <v>0</v>
      </c>
      <c r="BS57">
        <v>2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54</v>
      </c>
      <c r="CA57">
        <v>3</v>
      </c>
      <c r="CB57">
        <v>2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1</v>
      </c>
      <c r="CK57">
        <v>0</v>
      </c>
      <c r="CL57">
        <v>3</v>
      </c>
      <c r="CM57">
        <v>3</v>
      </c>
      <c r="CN57">
        <v>3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3</v>
      </c>
      <c r="CY57">
        <v>3</v>
      </c>
      <c r="CZ57">
        <v>2</v>
      </c>
      <c r="DA57">
        <v>0</v>
      </c>
      <c r="DB57">
        <v>0</v>
      </c>
      <c r="DC57">
        <v>0</v>
      </c>
      <c r="DD57">
        <v>0</v>
      </c>
      <c r="DE57">
        <v>1</v>
      </c>
      <c r="DF57">
        <v>0</v>
      </c>
      <c r="DG57">
        <v>0</v>
      </c>
      <c r="DH57">
        <v>0</v>
      </c>
      <c r="DI57">
        <v>0</v>
      </c>
      <c r="DJ57">
        <v>3</v>
      </c>
      <c r="DK57">
        <v>10</v>
      </c>
      <c r="DL57">
        <v>8</v>
      </c>
      <c r="DM57">
        <v>0</v>
      </c>
      <c r="DN57">
        <v>0</v>
      </c>
      <c r="DO57">
        <v>2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10</v>
      </c>
      <c r="DW57">
        <v>7</v>
      </c>
      <c r="DX57">
        <v>1</v>
      </c>
      <c r="DY57">
        <v>0</v>
      </c>
      <c r="DZ57">
        <v>0</v>
      </c>
      <c r="EA57">
        <v>5</v>
      </c>
      <c r="EB57">
        <v>0</v>
      </c>
      <c r="EC57">
        <v>1</v>
      </c>
      <c r="ED57">
        <v>0</v>
      </c>
      <c r="EE57">
        <v>0</v>
      </c>
      <c r="EF57">
        <v>0</v>
      </c>
      <c r="EG57">
        <v>0</v>
      </c>
      <c r="EH57">
        <v>7</v>
      </c>
      <c r="EI57">
        <v>1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1</v>
      </c>
      <c r="ER57">
        <v>1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1</v>
      </c>
      <c r="FF57">
        <v>1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1</v>
      </c>
    </row>
    <row r="58" spans="1:172" ht="14.25">
      <c r="A58">
        <v>53</v>
      </c>
      <c r="B58" t="str">
        <f t="shared" si="9"/>
        <v>100206</v>
      </c>
      <c r="C58" t="str">
        <f t="shared" si="10"/>
        <v>Kutno</v>
      </c>
      <c r="D58" t="str">
        <f t="shared" si="6"/>
        <v>kutnowski</v>
      </c>
      <c r="E58" t="str">
        <f t="shared" si="3"/>
        <v>łódzkie</v>
      </c>
      <c r="F58">
        <v>7</v>
      </c>
      <c r="G58" t="str">
        <f>"Świetlica Wiejska, Woźniaków 55, 99-300 Kutno"</f>
        <v>Świetlica Wiejska, Woźniaków 55, 99-300 Kutno</v>
      </c>
      <c r="H58">
        <v>800</v>
      </c>
      <c r="I58">
        <v>800</v>
      </c>
      <c r="J58">
        <v>0</v>
      </c>
      <c r="K58">
        <v>560</v>
      </c>
      <c r="L58">
        <v>368</v>
      </c>
      <c r="M58">
        <v>192</v>
      </c>
      <c r="N58">
        <v>192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192</v>
      </c>
      <c r="Z58">
        <v>0</v>
      </c>
      <c r="AA58">
        <v>0</v>
      </c>
      <c r="AB58">
        <v>192</v>
      </c>
      <c r="AC58">
        <v>8</v>
      </c>
      <c r="AD58">
        <v>184</v>
      </c>
      <c r="AE58">
        <v>19</v>
      </c>
      <c r="AF58">
        <v>16</v>
      </c>
      <c r="AG58">
        <v>1</v>
      </c>
      <c r="AH58">
        <v>0</v>
      </c>
      <c r="AI58">
        <v>0</v>
      </c>
      <c r="AJ58">
        <v>0</v>
      </c>
      <c r="AK58">
        <v>0</v>
      </c>
      <c r="AL58">
        <v>1</v>
      </c>
      <c r="AM58">
        <v>0</v>
      </c>
      <c r="AN58">
        <v>1</v>
      </c>
      <c r="AO58">
        <v>0</v>
      </c>
      <c r="AP58">
        <v>19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12</v>
      </c>
      <c r="BD58">
        <v>7</v>
      </c>
      <c r="BE58">
        <v>1</v>
      </c>
      <c r="BF58">
        <v>0</v>
      </c>
      <c r="BG58">
        <v>0</v>
      </c>
      <c r="BH58">
        <v>0</v>
      </c>
      <c r="BI58">
        <v>2</v>
      </c>
      <c r="BJ58">
        <v>0</v>
      </c>
      <c r="BK58">
        <v>0</v>
      </c>
      <c r="BL58">
        <v>2</v>
      </c>
      <c r="BM58">
        <v>0</v>
      </c>
      <c r="BN58">
        <v>12</v>
      </c>
      <c r="BO58">
        <v>81</v>
      </c>
      <c r="BP58">
        <v>78</v>
      </c>
      <c r="BQ58">
        <v>0</v>
      </c>
      <c r="BR58">
        <v>2</v>
      </c>
      <c r="BS58">
        <v>1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81</v>
      </c>
      <c r="CA58">
        <v>4</v>
      </c>
      <c r="CB58">
        <v>3</v>
      </c>
      <c r="CC58">
        <v>0</v>
      </c>
      <c r="CD58">
        <v>0</v>
      </c>
      <c r="CE58">
        <v>0</v>
      </c>
      <c r="CF58">
        <v>1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1</v>
      </c>
      <c r="CW58">
        <v>0</v>
      </c>
      <c r="CX58">
        <v>1</v>
      </c>
      <c r="CY58">
        <v>10</v>
      </c>
      <c r="CZ58">
        <v>5</v>
      </c>
      <c r="DA58">
        <v>2</v>
      </c>
      <c r="DB58">
        <v>0</v>
      </c>
      <c r="DC58">
        <v>0</v>
      </c>
      <c r="DD58">
        <v>0</v>
      </c>
      <c r="DE58">
        <v>0</v>
      </c>
      <c r="DF58">
        <v>2</v>
      </c>
      <c r="DG58">
        <v>0</v>
      </c>
      <c r="DH58">
        <v>0</v>
      </c>
      <c r="DI58">
        <v>1</v>
      </c>
      <c r="DJ58">
        <v>10</v>
      </c>
      <c r="DK58">
        <v>43</v>
      </c>
      <c r="DL58">
        <v>24</v>
      </c>
      <c r="DM58">
        <v>14</v>
      </c>
      <c r="DN58">
        <v>0</v>
      </c>
      <c r="DO58">
        <v>0</v>
      </c>
      <c r="DP58">
        <v>2</v>
      </c>
      <c r="DQ58">
        <v>2</v>
      </c>
      <c r="DR58">
        <v>1</v>
      </c>
      <c r="DS58">
        <v>0</v>
      </c>
      <c r="DT58">
        <v>0</v>
      </c>
      <c r="DU58">
        <v>0</v>
      </c>
      <c r="DV58">
        <v>43</v>
      </c>
      <c r="DW58">
        <v>12</v>
      </c>
      <c r="DX58">
        <v>4</v>
      </c>
      <c r="DY58">
        <v>1</v>
      </c>
      <c r="DZ58">
        <v>0</v>
      </c>
      <c r="EA58">
        <v>4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3</v>
      </c>
      <c r="EH58">
        <v>12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2</v>
      </c>
      <c r="FF58">
        <v>0</v>
      </c>
      <c r="FG58">
        <v>0</v>
      </c>
      <c r="FH58">
        <v>0</v>
      </c>
      <c r="FI58">
        <v>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1</v>
      </c>
      <c r="FP58">
        <v>2</v>
      </c>
    </row>
    <row r="59" spans="1:172" ht="14.25">
      <c r="A59">
        <v>54</v>
      </c>
      <c r="B59" t="str">
        <f t="shared" si="9"/>
        <v>100206</v>
      </c>
      <c r="C59" t="str">
        <f t="shared" si="10"/>
        <v>Kutno</v>
      </c>
      <c r="D59" t="str">
        <f t="shared" si="6"/>
        <v>kutnowski</v>
      </c>
      <c r="E59" t="str">
        <f t="shared" si="3"/>
        <v>łódzkie</v>
      </c>
      <c r="F59">
        <v>8</v>
      </c>
      <c r="G59" t="str">
        <f>"ZDZ w Warszawie Centrum Kształcenia w Kutnie, Bielawki 31, 99-300 Kutno"</f>
        <v>ZDZ w Warszawie Centrum Kształcenia w Kutnie, Bielawki 31, 99-300 Kutno</v>
      </c>
      <c r="H59">
        <v>645</v>
      </c>
      <c r="I59">
        <v>645</v>
      </c>
      <c r="J59">
        <v>0</v>
      </c>
      <c r="K59">
        <v>450</v>
      </c>
      <c r="L59">
        <v>337</v>
      </c>
      <c r="M59">
        <v>113</v>
      </c>
      <c r="N59">
        <v>113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113</v>
      </c>
      <c r="Z59">
        <v>0</v>
      </c>
      <c r="AA59">
        <v>0</v>
      </c>
      <c r="AB59">
        <v>113</v>
      </c>
      <c r="AC59">
        <v>5</v>
      </c>
      <c r="AD59">
        <v>108</v>
      </c>
      <c r="AE59">
        <v>11</v>
      </c>
      <c r="AF59">
        <v>9</v>
      </c>
      <c r="AG59">
        <v>1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11</v>
      </c>
      <c r="AQ59">
        <v>5</v>
      </c>
      <c r="AR59">
        <v>1</v>
      </c>
      <c r="AS59">
        <v>0</v>
      </c>
      <c r="AT59">
        <v>3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1</v>
      </c>
      <c r="BB59">
        <v>5</v>
      </c>
      <c r="BC59">
        <v>5</v>
      </c>
      <c r="BD59">
        <v>2</v>
      </c>
      <c r="BE59">
        <v>1</v>
      </c>
      <c r="BF59">
        <v>0</v>
      </c>
      <c r="BG59">
        <v>0</v>
      </c>
      <c r="BH59">
        <v>1</v>
      </c>
      <c r="BI59">
        <v>1</v>
      </c>
      <c r="BJ59">
        <v>0</v>
      </c>
      <c r="BK59">
        <v>0</v>
      </c>
      <c r="BL59">
        <v>0</v>
      </c>
      <c r="BM59">
        <v>0</v>
      </c>
      <c r="BN59">
        <v>5</v>
      </c>
      <c r="BO59">
        <v>37</v>
      </c>
      <c r="BP59">
        <v>36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1</v>
      </c>
      <c r="BY59">
        <v>0</v>
      </c>
      <c r="BZ59">
        <v>37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6</v>
      </c>
      <c r="CZ59">
        <v>1</v>
      </c>
      <c r="DA59">
        <v>1</v>
      </c>
      <c r="DB59">
        <v>0</v>
      </c>
      <c r="DC59">
        <v>0</v>
      </c>
      <c r="DD59">
        <v>0</v>
      </c>
      <c r="DE59">
        <v>1</v>
      </c>
      <c r="DF59">
        <v>0</v>
      </c>
      <c r="DG59">
        <v>1</v>
      </c>
      <c r="DH59">
        <v>0</v>
      </c>
      <c r="DI59">
        <v>2</v>
      </c>
      <c r="DJ59">
        <v>6</v>
      </c>
      <c r="DK59">
        <v>30</v>
      </c>
      <c r="DL59">
        <v>21</v>
      </c>
      <c r="DM59">
        <v>3</v>
      </c>
      <c r="DN59">
        <v>1</v>
      </c>
      <c r="DO59">
        <v>0</v>
      </c>
      <c r="DP59">
        <v>2</v>
      </c>
      <c r="DQ59">
        <v>1</v>
      </c>
      <c r="DR59">
        <v>2</v>
      </c>
      <c r="DS59">
        <v>0</v>
      </c>
      <c r="DT59">
        <v>0</v>
      </c>
      <c r="DU59">
        <v>0</v>
      </c>
      <c r="DV59">
        <v>30</v>
      </c>
      <c r="DW59">
        <v>13</v>
      </c>
      <c r="DX59">
        <v>1</v>
      </c>
      <c r="DY59">
        <v>3</v>
      </c>
      <c r="DZ59">
        <v>0</v>
      </c>
      <c r="EA59">
        <v>5</v>
      </c>
      <c r="EB59">
        <v>1</v>
      </c>
      <c r="EC59">
        <v>1</v>
      </c>
      <c r="ED59">
        <v>1</v>
      </c>
      <c r="EE59">
        <v>0</v>
      </c>
      <c r="EF59">
        <v>1</v>
      </c>
      <c r="EG59">
        <v>0</v>
      </c>
      <c r="EH59">
        <v>13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1</v>
      </c>
      <c r="ET59">
        <v>0</v>
      </c>
      <c r="EU59">
        <v>1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1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</row>
    <row r="60" spans="1:172" ht="14.25">
      <c r="A60">
        <v>55</v>
      </c>
      <c r="B60" t="str">
        <f>"100207"</f>
        <v>100207</v>
      </c>
      <c r="C60" t="str">
        <f>"Łanięta"</f>
        <v>Łanięta</v>
      </c>
      <c r="D60" t="str">
        <f t="shared" si="6"/>
        <v>kutnowski</v>
      </c>
      <c r="E60" t="str">
        <f t="shared" si="3"/>
        <v>łódzkie</v>
      </c>
      <c r="F60">
        <v>1</v>
      </c>
      <c r="G60" t="str">
        <f>"Świetlica wiejska, Łanięta 15g, 99-306 Łanięta"</f>
        <v>Świetlica wiejska, Łanięta 15g, 99-306 Łanięta</v>
      </c>
      <c r="H60">
        <v>1189</v>
      </c>
      <c r="I60">
        <v>1189</v>
      </c>
      <c r="J60">
        <v>0</v>
      </c>
      <c r="K60">
        <v>840</v>
      </c>
      <c r="L60">
        <v>690</v>
      </c>
      <c r="M60">
        <v>150</v>
      </c>
      <c r="N60">
        <v>150</v>
      </c>
      <c r="O60">
        <v>0</v>
      </c>
      <c r="P60">
        <v>0</v>
      </c>
      <c r="Q60">
        <v>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150</v>
      </c>
      <c r="Z60">
        <v>0</v>
      </c>
      <c r="AA60">
        <v>0</v>
      </c>
      <c r="AB60">
        <v>150</v>
      </c>
      <c r="AC60">
        <v>14</v>
      </c>
      <c r="AD60">
        <v>136</v>
      </c>
      <c r="AE60">
        <v>26</v>
      </c>
      <c r="AF60">
        <v>26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26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7</v>
      </c>
      <c r="BD60">
        <v>5</v>
      </c>
      <c r="BE60">
        <v>1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1</v>
      </c>
      <c r="BM60">
        <v>0</v>
      </c>
      <c r="BN60">
        <v>7</v>
      </c>
      <c r="BO60">
        <v>62</v>
      </c>
      <c r="BP60">
        <v>60</v>
      </c>
      <c r="BQ60">
        <v>2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62</v>
      </c>
      <c r="CA60">
        <v>5</v>
      </c>
      <c r="CB60">
        <v>0</v>
      </c>
      <c r="CC60">
        <v>3</v>
      </c>
      <c r="CD60">
        <v>0</v>
      </c>
      <c r="CE60">
        <v>1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0</v>
      </c>
      <c r="CL60">
        <v>5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4</v>
      </c>
      <c r="CZ60">
        <v>2</v>
      </c>
      <c r="DA60">
        <v>1</v>
      </c>
      <c r="DB60">
        <v>0</v>
      </c>
      <c r="DC60">
        <v>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4</v>
      </c>
      <c r="DK60">
        <v>15</v>
      </c>
      <c r="DL60">
        <v>12</v>
      </c>
      <c r="DM60">
        <v>3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15</v>
      </c>
      <c r="DW60">
        <v>17</v>
      </c>
      <c r="DX60">
        <v>3</v>
      </c>
      <c r="DY60">
        <v>2</v>
      </c>
      <c r="DZ60">
        <v>0</v>
      </c>
      <c r="EA60">
        <v>2</v>
      </c>
      <c r="EB60">
        <v>4</v>
      </c>
      <c r="EC60">
        <v>1</v>
      </c>
      <c r="ED60">
        <v>1</v>
      </c>
      <c r="EE60">
        <v>0</v>
      </c>
      <c r="EF60">
        <v>4</v>
      </c>
      <c r="EG60">
        <v>0</v>
      </c>
      <c r="EH60">
        <v>17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</row>
    <row r="61" spans="1:172" ht="14.25">
      <c r="A61">
        <v>56</v>
      </c>
      <c r="B61" t="str">
        <f>"100207"</f>
        <v>100207</v>
      </c>
      <c r="C61" t="str">
        <f>"Łanięta"</f>
        <v>Łanięta</v>
      </c>
      <c r="D61" t="str">
        <f t="shared" si="6"/>
        <v>kutnowski</v>
      </c>
      <c r="E61" t="str">
        <f t="shared" si="3"/>
        <v>łódzkie</v>
      </c>
      <c r="F61">
        <v>2</v>
      </c>
      <c r="G61" t="str">
        <f>"Remiza Ochotniczej Straży Pożarnej, Suchodębie 50, 99-306 Łanięta"</f>
        <v>Remiza Ochotniczej Straży Pożarnej, Suchodębie 50, 99-306 Łanięta</v>
      </c>
      <c r="H61">
        <v>710</v>
      </c>
      <c r="I61">
        <v>710</v>
      </c>
      <c r="J61">
        <v>0</v>
      </c>
      <c r="K61">
        <v>500</v>
      </c>
      <c r="L61">
        <v>385</v>
      </c>
      <c r="M61">
        <v>115</v>
      </c>
      <c r="N61">
        <v>115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115</v>
      </c>
      <c r="Z61">
        <v>0</v>
      </c>
      <c r="AA61">
        <v>0</v>
      </c>
      <c r="AB61">
        <v>115</v>
      </c>
      <c r="AC61">
        <v>7</v>
      </c>
      <c r="AD61">
        <v>108</v>
      </c>
      <c r="AE61">
        <v>9</v>
      </c>
      <c r="AF61">
        <v>8</v>
      </c>
      <c r="AG61">
        <v>0</v>
      </c>
      <c r="AH61">
        <v>0</v>
      </c>
      <c r="AI61">
        <v>0</v>
      </c>
      <c r="AJ61">
        <v>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9</v>
      </c>
      <c r="AQ61">
        <v>3</v>
      </c>
      <c r="AR61">
        <v>3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3</v>
      </c>
      <c r="BC61">
        <v>3</v>
      </c>
      <c r="BD61">
        <v>1</v>
      </c>
      <c r="BE61">
        <v>0</v>
      </c>
      <c r="BF61">
        <v>2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3</v>
      </c>
      <c r="BO61">
        <v>70</v>
      </c>
      <c r="BP61">
        <v>60</v>
      </c>
      <c r="BQ61">
        <v>5</v>
      </c>
      <c r="BR61">
        <v>2</v>
      </c>
      <c r="BS61">
        <v>1</v>
      </c>
      <c r="BT61">
        <v>0</v>
      </c>
      <c r="BU61">
        <v>0</v>
      </c>
      <c r="BV61">
        <v>0</v>
      </c>
      <c r="BW61">
        <v>0</v>
      </c>
      <c r="BX61">
        <v>1</v>
      </c>
      <c r="BY61">
        <v>1</v>
      </c>
      <c r="BZ61">
        <v>70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3</v>
      </c>
      <c r="CN61">
        <v>3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3</v>
      </c>
      <c r="CY61">
        <v>1</v>
      </c>
      <c r="CZ61">
        <v>0</v>
      </c>
      <c r="DA61">
        <v>1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</v>
      </c>
      <c r="DK61">
        <v>10</v>
      </c>
      <c r="DL61">
        <v>3</v>
      </c>
      <c r="DM61">
        <v>4</v>
      </c>
      <c r="DN61">
        <v>1</v>
      </c>
      <c r="DO61">
        <v>1</v>
      </c>
      <c r="DP61">
        <v>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10</v>
      </c>
      <c r="DW61">
        <v>9</v>
      </c>
      <c r="DX61">
        <v>4</v>
      </c>
      <c r="DY61">
        <v>1</v>
      </c>
      <c r="DZ61">
        <v>0</v>
      </c>
      <c r="EA61">
        <v>1</v>
      </c>
      <c r="EB61">
        <v>0</v>
      </c>
      <c r="EC61">
        <v>0</v>
      </c>
      <c r="ED61">
        <v>1</v>
      </c>
      <c r="EE61">
        <v>0</v>
      </c>
      <c r="EF61">
        <v>2</v>
      </c>
      <c r="EG61">
        <v>0</v>
      </c>
      <c r="EH61">
        <v>9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</row>
    <row r="62" spans="1:172" ht="14.25">
      <c r="A62">
        <v>57</v>
      </c>
      <c r="B62" t="str">
        <f>"100207"</f>
        <v>100207</v>
      </c>
      <c r="C62" t="str">
        <f>"Łanięta"</f>
        <v>Łanięta</v>
      </c>
      <c r="D62" t="str">
        <f t="shared" si="6"/>
        <v>kutnowski</v>
      </c>
      <c r="E62" t="str">
        <f t="shared" si="3"/>
        <v>łódzkie</v>
      </c>
      <c r="F62">
        <v>3</v>
      </c>
      <c r="G62" t="str">
        <f>"DPS w Woli Chruścińskiej, Wola Chruścińska 4, 99-306 Łanięta"</f>
        <v>DPS w Woli Chruścińskiej, Wola Chruścińska 4, 99-306 Łanięta</v>
      </c>
      <c r="H62">
        <v>49</v>
      </c>
      <c r="I62">
        <v>49</v>
      </c>
      <c r="J62">
        <v>0</v>
      </c>
      <c r="K62">
        <v>51</v>
      </c>
      <c r="L62">
        <v>20</v>
      </c>
      <c r="M62">
        <v>31</v>
      </c>
      <c r="N62">
        <v>31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31</v>
      </c>
      <c r="Z62">
        <v>0</v>
      </c>
      <c r="AA62">
        <v>0</v>
      </c>
      <c r="AB62">
        <v>31</v>
      </c>
      <c r="AC62">
        <v>0</v>
      </c>
      <c r="AD62">
        <v>31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1</v>
      </c>
      <c r="BD62">
        <v>1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1</v>
      </c>
      <c r="BO62">
        <v>28</v>
      </c>
      <c r="BP62">
        <v>27</v>
      </c>
      <c r="BQ62">
        <v>1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28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2</v>
      </c>
      <c r="DL62">
        <v>2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2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</row>
    <row r="63" spans="1:172" ht="14.25">
      <c r="A63">
        <v>58</v>
      </c>
      <c r="B63" t="str">
        <f>"100208"</f>
        <v>100208</v>
      </c>
      <c r="C63" t="str">
        <f>"Nowe Ostrowy"</f>
        <v>Nowe Ostrowy</v>
      </c>
      <c r="D63" t="str">
        <f t="shared" si="6"/>
        <v>kutnowski</v>
      </c>
      <c r="E63" t="str">
        <f t="shared" si="3"/>
        <v>łódzkie</v>
      </c>
      <c r="F63">
        <v>1</v>
      </c>
      <c r="G63" t="str">
        <f>"Szkoła Podstawowa, Ostrowy 8, 99-350 Ostrowy"</f>
        <v>Szkoła Podstawowa, Ostrowy 8, 99-350 Ostrowy</v>
      </c>
      <c r="H63">
        <v>1180</v>
      </c>
      <c r="I63">
        <v>1180</v>
      </c>
      <c r="J63">
        <v>0</v>
      </c>
      <c r="K63">
        <v>830</v>
      </c>
      <c r="L63">
        <v>660</v>
      </c>
      <c r="M63">
        <v>170</v>
      </c>
      <c r="N63">
        <v>170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170</v>
      </c>
      <c r="Z63">
        <v>0</v>
      </c>
      <c r="AA63">
        <v>0</v>
      </c>
      <c r="AB63">
        <v>170</v>
      </c>
      <c r="AC63">
        <v>8</v>
      </c>
      <c r="AD63">
        <v>162</v>
      </c>
      <c r="AE63">
        <v>17</v>
      </c>
      <c r="AF63">
        <v>17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17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24</v>
      </c>
      <c r="BD63">
        <v>13</v>
      </c>
      <c r="BE63">
        <v>2</v>
      </c>
      <c r="BF63">
        <v>0</v>
      </c>
      <c r="BG63">
        <v>0</v>
      </c>
      <c r="BH63">
        <v>0</v>
      </c>
      <c r="BI63">
        <v>1</v>
      </c>
      <c r="BJ63">
        <v>0</v>
      </c>
      <c r="BK63">
        <v>0</v>
      </c>
      <c r="BL63">
        <v>8</v>
      </c>
      <c r="BM63">
        <v>0</v>
      </c>
      <c r="BN63">
        <v>24</v>
      </c>
      <c r="BO63">
        <v>71</v>
      </c>
      <c r="BP63">
        <v>66</v>
      </c>
      <c r="BQ63">
        <v>2</v>
      </c>
      <c r="BR63">
        <v>0</v>
      </c>
      <c r="BS63">
        <v>3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71</v>
      </c>
      <c r="CA63">
        <v>4</v>
      </c>
      <c r="CB63">
        <v>1</v>
      </c>
      <c r="CC63">
        <v>1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1</v>
      </c>
      <c r="CK63">
        <v>1</v>
      </c>
      <c r="CL63">
        <v>4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3</v>
      </c>
      <c r="CZ63">
        <v>3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3</v>
      </c>
      <c r="DK63">
        <v>24</v>
      </c>
      <c r="DL63">
        <v>14</v>
      </c>
      <c r="DM63">
        <v>8</v>
      </c>
      <c r="DN63">
        <v>0</v>
      </c>
      <c r="DO63">
        <v>0</v>
      </c>
      <c r="DP63">
        <v>0</v>
      </c>
      <c r="DQ63">
        <v>0</v>
      </c>
      <c r="DR63">
        <v>1</v>
      </c>
      <c r="DS63">
        <v>0</v>
      </c>
      <c r="DT63">
        <v>1</v>
      </c>
      <c r="DU63">
        <v>0</v>
      </c>
      <c r="DV63">
        <v>24</v>
      </c>
      <c r="DW63">
        <v>18</v>
      </c>
      <c r="DX63">
        <v>2</v>
      </c>
      <c r="DY63">
        <v>0</v>
      </c>
      <c r="DZ63">
        <v>2</v>
      </c>
      <c r="EA63">
        <v>5</v>
      </c>
      <c r="EB63">
        <v>0</v>
      </c>
      <c r="EC63">
        <v>2</v>
      </c>
      <c r="ED63">
        <v>0</v>
      </c>
      <c r="EE63">
        <v>0</v>
      </c>
      <c r="EF63">
        <v>7</v>
      </c>
      <c r="EG63">
        <v>0</v>
      </c>
      <c r="EH63">
        <v>18</v>
      </c>
      <c r="EI63">
        <v>1</v>
      </c>
      <c r="EJ63">
        <v>0</v>
      </c>
      <c r="EK63">
        <v>1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1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</row>
    <row r="64" spans="1:172" ht="14.25">
      <c r="A64">
        <v>59</v>
      </c>
      <c r="B64" t="str">
        <f>"100208"</f>
        <v>100208</v>
      </c>
      <c r="C64" t="str">
        <f>"Nowe Ostrowy"</f>
        <v>Nowe Ostrowy</v>
      </c>
      <c r="D64" t="str">
        <f t="shared" si="6"/>
        <v>kutnowski</v>
      </c>
      <c r="E64" t="str">
        <f t="shared" si="3"/>
        <v>łódzkie</v>
      </c>
      <c r="F64">
        <v>2</v>
      </c>
      <c r="G64" t="str">
        <f>"Urząd Gminy, Nowe Ostrowy 80, 99-350 Ostrowy"</f>
        <v>Urząd Gminy, Nowe Ostrowy 80, 99-350 Ostrowy</v>
      </c>
      <c r="H64">
        <v>966</v>
      </c>
      <c r="I64">
        <v>966</v>
      </c>
      <c r="J64">
        <v>0</v>
      </c>
      <c r="K64">
        <v>680</v>
      </c>
      <c r="L64">
        <v>526</v>
      </c>
      <c r="M64">
        <v>154</v>
      </c>
      <c r="N64">
        <v>154</v>
      </c>
      <c r="O64">
        <v>0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154</v>
      </c>
      <c r="Z64">
        <v>0</v>
      </c>
      <c r="AA64">
        <v>0</v>
      </c>
      <c r="AB64">
        <v>154</v>
      </c>
      <c r="AC64">
        <v>13</v>
      </c>
      <c r="AD64">
        <v>141</v>
      </c>
      <c r="AE64">
        <v>30</v>
      </c>
      <c r="AF64">
        <v>29</v>
      </c>
      <c r="AG64">
        <v>0</v>
      </c>
      <c r="AH64">
        <v>0</v>
      </c>
      <c r="AI64">
        <v>0</v>
      </c>
      <c r="AJ64">
        <v>0</v>
      </c>
      <c r="AK64">
        <v>1</v>
      </c>
      <c r="AL64">
        <v>0</v>
      </c>
      <c r="AM64">
        <v>0</v>
      </c>
      <c r="AN64">
        <v>0</v>
      </c>
      <c r="AO64">
        <v>0</v>
      </c>
      <c r="AP64">
        <v>30</v>
      </c>
      <c r="AQ64">
        <v>3</v>
      </c>
      <c r="AR64">
        <v>0</v>
      </c>
      <c r="AS64">
        <v>2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1</v>
      </c>
      <c r="AZ64">
        <v>0</v>
      </c>
      <c r="BA64">
        <v>0</v>
      </c>
      <c r="BB64">
        <v>3</v>
      </c>
      <c r="BC64">
        <v>11</v>
      </c>
      <c r="BD64">
        <v>7</v>
      </c>
      <c r="BE64">
        <v>0</v>
      </c>
      <c r="BF64">
        <v>4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11</v>
      </c>
      <c r="BO64">
        <v>54</v>
      </c>
      <c r="BP64">
        <v>41</v>
      </c>
      <c r="BQ64">
        <v>1</v>
      </c>
      <c r="BR64">
        <v>3</v>
      </c>
      <c r="BS64">
        <v>2</v>
      </c>
      <c r="BT64">
        <v>0</v>
      </c>
      <c r="BU64">
        <v>0</v>
      </c>
      <c r="BV64">
        <v>0</v>
      </c>
      <c r="BW64">
        <v>0</v>
      </c>
      <c r="BX64">
        <v>7</v>
      </c>
      <c r="BY64">
        <v>0</v>
      </c>
      <c r="BZ64">
        <v>54</v>
      </c>
      <c r="CA64">
        <v>4</v>
      </c>
      <c r="CB64">
        <v>1</v>
      </c>
      <c r="CC64">
        <v>1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1</v>
      </c>
      <c r="CJ64">
        <v>0</v>
      </c>
      <c r="CK64">
        <v>1</v>
      </c>
      <c r="CL64">
        <v>4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5</v>
      </c>
      <c r="CZ64">
        <v>2</v>
      </c>
      <c r="DA64">
        <v>1</v>
      </c>
      <c r="DB64">
        <v>1</v>
      </c>
      <c r="DC64">
        <v>1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5</v>
      </c>
      <c r="DK64">
        <v>24</v>
      </c>
      <c r="DL64">
        <v>12</v>
      </c>
      <c r="DM64">
        <v>7</v>
      </c>
      <c r="DN64">
        <v>3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2</v>
      </c>
      <c r="DV64">
        <v>24</v>
      </c>
      <c r="DW64">
        <v>8</v>
      </c>
      <c r="DX64">
        <v>1</v>
      </c>
      <c r="DY64">
        <v>1</v>
      </c>
      <c r="DZ64">
        <v>0</v>
      </c>
      <c r="EA64">
        <v>0</v>
      </c>
      <c r="EB64">
        <v>0</v>
      </c>
      <c r="EC64">
        <v>1</v>
      </c>
      <c r="ED64">
        <v>0</v>
      </c>
      <c r="EE64">
        <v>1</v>
      </c>
      <c r="EF64">
        <v>3</v>
      </c>
      <c r="EG64">
        <v>1</v>
      </c>
      <c r="EH64">
        <v>8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2</v>
      </c>
      <c r="FF64">
        <v>0</v>
      </c>
      <c r="FG64">
        <v>0</v>
      </c>
      <c r="FH64">
        <v>0</v>
      </c>
      <c r="FI64">
        <v>0</v>
      </c>
      <c r="FJ64">
        <v>1</v>
      </c>
      <c r="FK64">
        <v>0</v>
      </c>
      <c r="FL64">
        <v>1</v>
      </c>
      <c r="FM64">
        <v>0</v>
      </c>
      <c r="FN64">
        <v>0</v>
      </c>
      <c r="FO64">
        <v>0</v>
      </c>
      <c r="FP64">
        <v>2</v>
      </c>
    </row>
    <row r="65" spans="1:172" ht="14.25">
      <c r="A65">
        <v>60</v>
      </c>
      <c r="B65" t="str">
        <f>"100208"</f>
        <v>100208</v>
      </c>
      <c r="C65" t="str">
        <f>"Nowe Ostrowy"</f>
        <v>Nowe Ostrowy</v>
      </c>
      <c r="D65" t="str">
        <f t="shared" si="6"/>
        <v>kutnowski</v>
      </c>
      <c r="E65" t="str">
        <f t="shared" si="3"/>
        <v>łódzkie</v>
      </c>
      <c r="F65">
        <v>3</v>
      </c>
      <c r="G65" t="str">
        <f>"Ochotnicza Straż Pożarna, Grochów 25, 99-350 Ostrowy"</f>
        <v>Ochotnicza Straż Pożarna, Grochów 25, 99-350 Ostrowy</v>
      </c>
      <c r="H65">
        <v>479</v>
      </c>
      <c r="I65">
        <v>479</v>
      </c>
      <c r="J65">
        <v>0</v>
      </c>
      <c r="K65">
        <v>340</v>
      </c>
      <c r="L65">
        <v>280</v>
      </c>
      <c r="M65">
        <v>60</v>
      </c>
      <c r="N65">
        <v>60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60</v>
      </c>
      <c r="Z65">
        <v>0</v>
      </c>
      <c r="AA65">
        <v>0</v>
      </c>
      <c r="AB65">
        <v>60</v>
      </c>
      <c r="AC65">
        <v>5</v>
      </c>
      <c r="AD65">
        <v>55</v>
      </c>
      <c r="AE65">
        <v>5</v>
      </c>
      <c r="AF65">
        <v>5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5</v>
      </c>
      <c r="AQ65">
        <v>3</v>
      </c>
      <c r="AR65">
        <v>3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</v>
      </c>
      <c r="BC65">
        <v>2</v>
      </c>
      <c r="BD65">
        <v>2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2</v>
      </c>
      <c r="BO65">
        <v>31</v>
      </c>
      <c r="BP65">
        <v>28</v>
      </c>
      <c r="BQ65">
        <v>2</v>
      </c>
      <c r="BR65">
        <v>0</v>
      </c>
      <c r="BS65">
        <v>1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31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1</v>
      </c>
      <c r="CZ65">
        <v>1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1</v>
      </c>
      <c r="DK65">
        <v>8</v>
      </c>
      <c r="DL65">
        <v>7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1</v>
      </c>
      <c r="DU65">
        <v>0</v>
      </c>
      <c r="DV65">
        <v>8</v>
      </c>
      <c r="DW65">
        <v>5</v>
      </c>
      <c r="DX65">
        <v>1</v>
      </c>
      <c r="DY65">
        <v>0</v>
      </c>
      <c r="DZ65">
        <v>0</v>
      </c>
      <c r="EA65">
        <v>0</v>
      </c>
      <c r="EB65">
        <v>1</v>
      </c>
      <c r="EC65">
        <v>0</v>
      </c>
      <c r="ED65">
        <v>0</v>
      </c>
      <c r="EE65">
        <v>1</v>
      </c>
      <c r="EF65">
        <v>1</v>
      </c>
      <c r="EG65">
        <v>1</v>
      </c>
      <c r="EH65">
        <v>5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</row>
    <row r="66" spans="1:172" ht="14.25">
      <c r="A66">
        <v>61</v>
      </c>
      <c r="B66" t="str">
        <f>"100208"</f>
        <v>100208</v>
      </c>
      <c r="C66" t="str">
        <f>"Nowe Ostrowy"</f>
        <v>Nowe Ostrowy</v>
      </c>
      <c r="D66" t="str">
        <f t="shared" si="6"/>
        <v>kutnowski</v>
      </c>
      <c r="E66" t="str">
        <f t="shared" si="3"/>
        <v>łódzkie</v>
      </c>
      <c r="F66">
        <v>4</v>
      </c>
      <c r="G66" t="str">
        <f>"Budynek po Szkole Podstawowej, Wola Pierowa 28, 99-350 Ostrowy"</f>
        <v>Budynek po Szkole Podstawowej, Wola Pierowa 28, 99-350 Ostrowy</v>
      </c>
      <c r="H66">
        <v>379</v>
      </c>
      <c r="I66">
        <v>379</v>
      </c>
      <c r="J66">
        <v>0</v>
      </c>
      <c r="K66">
        <v>270</v>
      </c>
      <c r="L66">
        <v>224</v>
      </c>
      <c r="M66">
        <v>46</v>
      </c>
      <c r="N66">
        <v>46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46</v>
      </c>
      <c r="Z66">
        <v>0</v>
      </c>
      <c r="AA66">
        <v>0</v>
      </c>
      <c r="AB66">
        <v>46</v>
      </c>
      <c r="AC66">
        <v>6</v>
      </c>
      <c r="AD66">
        <v>40</v>
      </c>
      <c r="AE66">
        <v>5</v>
      </c>
      <c r="AF66">
        <v>5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5</v>
      </c>
      <c r="AQ66">
        <v>1</v>
      </c>
      <c r="AR66">
        <v>1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3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1</v>
      </c>
      <c r="BJ66">
        <v>1</v>
      </c>
      <c r="BK66">
        <v>0</v>
      </c>
      <c r="BL66">
        <v>1</v>
      </c>
      <c r="BM66">
        <v>0</v>
      </c>
      <c r="BN66">
        <v>3</v>
      </c>
      <c r="BO66">
        <v>19</v>
      </c>
      <c r="BP66">
        <v>15</v>
      </c>
      <c r="BQ66">
        <v>0</v>
      </c>
      <c r="BR66">
        <v>0</v>
      </c>
      <c r="BS66">
        <v>1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3</v>
      </c>
      <c r="BZ66">
        <v>19</v>
      </c>
      <c r="CA66">
        <v>1</v>
      </c>
      <c r="CB66">
        <v>0</v>
      </c>
      <c r="CC66">
        <v>1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1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1</v>
      </c>
      <c r="CZ66">
        <v>0</v>
      </c>
      <c r="DA66">
        <v>0</v>
      </c>
      <c r="DB66">
        <v>0</v>
      </c>
      <c r="DC66">
        <v>1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</v>
      </c>
      <c r="DK66">
        <v>4</v>
      </c>
      <c r="DL66">
        <v>3</v>
      </c>
      <c r="DM66">
        <v>1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4</v>
      </c>
      <c r="DW66">
        <v>5</v>
      </c>
      <c r="DX66">
        <v>1</v>
      </c>
      <c r="DY66">
        <v>1</v>
      </c>
      <c r="DZ66">
        <v>0</v>
      </c>
      <c r="EA66">
        <v>2</v>
      </c>
      <c r="EB66">
        <v>0</v>
      </c>
      <c r="EC66">
        <v>0</v>
      </c>
      <c r="ED66">
        <v>0</v>
      </c>
      <c r="EE66">
        <v>0</v>
      </c>
      <c r="EF66">
        <v>1</v>
      </c>
      <c r="EG66">
        <v>0</v>
      </c>
      <c r="EH66">
        <v>5</v>
      </c>
      <c r="EI66">
        <v>1</v>
      </c>
      <c r="EJ66">
        <v>0</v>
      </c>
      <c r="EK66">
        <v>1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1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</row>
    <row r="67" spans="1:172" ht="14.25">
      <c r="A67">
        <v>62</v>
      </c>
      <c r="B67" t="str">
        <f>"100209"</f>
        <v>100209</v>
      </c>
      <c r="C67" t="str">
        <f>"Oporów"</f>
        <v>Oporów</v>
      </c>
      <c r="D67" t="str">
        <f t="shared" si="6"/>
        <v>kutnowski</v>
      </c>
      <c r="E67" t="str">
        <f t="shared" si="3"/>
        <v>łódzkie</v>
      </c>
      <c r="F67">
        <v>1</v>
      </c>
      <c r="G67" t="str">
        <f>"Zespół Szkół, Oporów 57, 99-322 Oporów"</f>
        <v>Zespół Szkół, Oporów 57, 99-322 Oporów</v>
      </c>
      <c r="H67">
        <v>1233</v>
      </c>
      <c r="I67">
        <v>1233</v>
      </c>
      <c r="J67">
        <v>0</v>
      </c>
      <c r="K67">
        <v>860</v>
      </c>
      <c r="L67">
        <v>678</v>
      </c>
      <c r="M67">
        <v>182</v>
      </c>
      <c r="N67">
        <v>182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182</v>
      </c>
      <c r="Z67">
        <v>0</v>
      </c>
      <c r="AA67">
        <v>0</v>
      </c>
      <c r="AB67">
        <v>182</v>
      </c>
      <c r="AC67">
        <v>5</v>
      </c>
      <c r="AD67">
        <v>177</v>
      </c>
      <c r="AE67">
        <v>6</v>
      </c>
      <c r="AF67">
        <v>3</v>
      </c>
      <c r="AG67">
        <v>0</v>
      </c>
      <c r="AH67">
        <v>0</v>
      </c>
      <c r="AI67">
        <v>2</v>
      </c>
      <c r="AJ67">
        <v>0</v>
      </c>
      <c r="AK67">
        <v>0</v>
      </c>
      <c r="AL67">
        <v>1</v>
      </c>
      <c r="AM67">
        <v>0</v>
      </c>
      <c r="AN67">
        <v>0</v>
      </c>
      <c r="AO67">
        <v>0</v>
      </c>
      <c r="AP67">
        <v>6</v>
      </c>
      <c r="AQ67">
        <v>5</v>
      </c>
      <c r="AR67">
        <v>2</v>
      </c>
      <c r="AS67">
        <v>2</v>
      </c>
      <c r="AT67">
        <v>0</v>
      </c>
      <c r="AU67">
        <v>0</v>
      </c>
      <c r="AV67">
        <v>1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5</v>
      </c>
      <c r="BC67">
        <v>7</v>
      </c>
      <c r="BD67">
        <v>4</v>
      </c>
      <c r="BE67">
        <v>2</v>
      </c>
      <c r="BF67">
        <v>0</v>
      </c>
      <c r="BG67">
        <v>0</v>
      </c>
      <c r="BH67">
        <v>0</v>
      </c>
      <c r="BI67">
        <v>1</v>
      </c>
      <c r="BJ67">
        <v>0</v>
      </c>
      <c r="BK67">
        <v>0</v>
      </c>
      <c r="BL67">
        <v>0</v>
      </c>
      <c r="BM67">
        <v>0</v>
      </c>
      <c r="BN67">
        <v>7</v>
      </c>
      <c r="BO67">
        <v>78</v>
      </c>
      <c r="BP67">
        <v>70</v>
      </c>
      <c r="BQ67">
        <v>0</v>
      </c>
      <c r="BR67">
        <v>3</v>
      </c>
      <c r="BS67">
        <v>4</v>
      </c>
      <c r="BT67">
        <v>0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78</v>
      </c>
      <c r="CA67">
        <v>2</v>
      </c>
      <c r="CB67">
        <v>1</v>
      </c>
      <c r="CC67">
        <v>0</v>
      </c>
      <c r="CD67">
        <v>0</v>
      </c>
      <c r="CE67">
        <v>0</v>
      </c>
      <c r="CF67">
        <v>1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</v>
      </c>
      <c r="CM67">
        <v>2</v>
      </c>
      <c r="CN67">
        <v>1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2</v>
      </c>
      <c r="CY67">
        <v>7</v>
      </c>
      <c r="CZ67">
        <v>6</v>
      </c>
      <c r="DA67">
        <v>0</v>
      </c>
      <c r="DB67">
        <v>0</v>
      </c>
      <c r="DC67">
        <v>0</v>
      </c>
      <c r="DD67">
        <v>0</v>
      </c>
      <c r="DE67">
        <v>1</v>
      </c>
      <c r="DF67">
        <v>0</v>
      </c>
      <c r="DG67">
        <v>0</v>
      </c>
      <c r="DH67">
        <v>0</v>
      </c>
      <c r="DI67">
        <v>0</v>
      </c>
      <c r="DJ67">
        <v>7</v>
      </c>
      <c r="DK67">
        <v>14</v>
      </c>
      <c r="DL67">
        <v>11</v>
      </c>
      <c r="DM67">
        <v>2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1</v>
      </c>
      <c r="DT67">
        <v>0</v>
      </c>
      <c r="DU67">
        <v>0</v>
      </c>
      <c r="DV67">
        <v>14</v>
      </c>
      <c r="DW67">
        <v>54</v>
      </c>
      <c r="DX67">
        <v>8</v>
      </c>
      <c r="DY67">
        <v>1</v>
      </c>
      <c r="DZ67">
        <v>3</v>
      </c>
      <c r="EA67">
        <v>26</v>
      </c>
      <c r="EB67">
        <v>4</v>
      </c>
      <c r="EC67">
        <v>3</v>
      </c>
      <c r="ED67">
        <v>3</v>
      </c>
      <c r="EE67">
        <v>0</v>
      </c>
      <c r="EF67">
        <v>6</v>
      </c>
      <c r="EG67">
        <v>0</v>
      </c>
      <c r="EH67">
        <v>54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2</v>
      </c>
      <c r="FF67">
        <v>0</v>
      </c>
      <c r="FG67">
        <v>0</v>
      </c>
      <c r="FH67">
        <v>0</v>
      </c>
      <c r="FI67">
        <v>1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1</v>
      </c>
      <c r="FP67">
        <v>2</v>
      </c>
    </row>
    <row r="68" spans="1:172" ht="14.25">
      <c r="A68">
        <v>63</v>
      </c>
      <c r="B68" t="str">
        <f>"100209"</f>
        <v>100209</v>
      </c>
      <c r="C68" t="str">
        <f>"Oporów"</f>
        <v>Oporów</v>
      </c>
      <c r="D68" t="str">
        <f t="shared" si="6"/>
        <v>kutnowski</v>
      </c>
      <c r="E68" t="str">
        <f t="shared" si="3"/>
        <v>łódzkie</v>
      </c>
      <c r="F68">
        <v>2</v>
      </c>
      <c r="G68" t="str">
        <f>"Zespół Szkół, Szczyt 6A, 99-311 Bedlno"</f>
        <v>Zespół Szkół, Szczyt 6A, 99-311 Bedlno</v>
      </c>
      <c r="H68">
        <v>989</v>
      </c>
      <c r="I68">
        <v>989</v>
      </c>
      <c r="J68">
        <v>0</v>
      </c>
      <c r="K68">
        <v>690</v>
      </c>
      <c r="L68">
        <v>538</v>
      </c>
      <c r="M68">
        <v>152</v>
      </c>
      <c r="N68">
        <v>152</v>
      </c>
      <c r="O68">
        <v>0</v>
      </c>
      <c r="P68">
        <v>0</v>
      </c>
      <c r="Q68">
        <v>2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152</v>
      </c>
      <c r="Z68">
        <v>0</v>
      </c>
      <c r="AA68">
        <v>0</v>
      </c>
      <c r="AB68">
        <v>152</v>
      </c>
      <c r="AC68">
        <v>8</v>
      </c>
      <c r="AD68">
        <v>144</v>
      </c>
      <c r="AE68">
        <v>10</v>
      </c>
      <c r="AF68">
        <v>8</v>
      </c>
      <c r="AG68">
        <v>0</v>
      </c>
      <c r="AH68">
        <v>1</v>
      </c>
      <c r="AI68">
        <v>0</v>
      </c>
      <c r="AJ68">
        <v>0</v>
      </c>
      <c r="AK68">
        <v>0</v>
      </c>
      <c r="AL68">
        <v>1</v>
      </c>
      <c r="AM68">
        <v>0</v>
      </c>
      <c r="AN68">
        <v>0</v>
      </c>
      <c r="AO68">
        <v>0</v>
      </c>
      <c r="AP68">
        <v>10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2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1</v>
      </c>
      <c r="BJ68">
        <v>0</v>
      </c>
      <c r="BK68">
        <v>1</v>
      </c>
      <c r="BL68">
        <v>0</v>
      </c>
      <c r="BM68">
        <v>0</v>
      </c>
      <c r="BN68">
        <v>2</v>
      </c>
      <c r="BO68">
        <v>89</v>
      </c>
      <c r="BP68">
        <v>77</v>
      </c>
      <c r="BQ68">
        <v>1</v>
      </c>
      <c r="BR68">
        <v>2</v>
      </c>
      <c r="BS68">
        <v>2</v>
      </c>
      <c r="BT68">
        <v>1</v>
      </c>
      <c r="BU68">
        <v>2</v>
      </c>
      <c r="BV68">
        <v>0</v>
      </c>
      <c r="BW68">
        <v>0</v>
      </c>
      <c r="BX68">
        <v>0</v>
      </c>
      <c r="BY68">
        <v>4</v>
      </c>
      <c r="BZ68">
        <v>89</v>
      </c>
      <c r="CA68">
        <v>2</v>
      </c>
      <c r="CB68">
        <v>0</v>
      </c>
      <c r="CC68">
        <v>0</v>
      </c>
      <c r="CD68">
        <v>1</v>
      </c>
      <c r="CE68">
        <v>0</v>
      </c>
      <c r="CF68">
        <v>0</v>
      </c>
      <c r="CG68">
        <v>0</v>
      </c>
      <c r="CH68">
        <v>1</v>
      </c>
      <c r="CI68">
        <v>0</v>
      </c>
      <c r="CJ68">
        <v>0</v>
      </c>
      <c r="CK68">
        <v>0</v>
      </c>
      <c r="CL68">
        <v>2</v>
      </c>
      <c r="CM68">
        <v>5</v>
      </c>
      <c r="CN68">
        <v>3</v>
      </c>
      <c r="CO68">
        <v>0</v>
      </c>
      <c r="CP68">
        <v>1</v>
      </c>
      <c r="CQ68">
        <v>1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5</v>
      </c>
      <c r="CY68">
        <v>5</v>
      </c>
      <c r="CZ68">
        <v>5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5</v>
      </c>
      <c r="DK68">
        <v>2</v>
      </c>
      <c r="DL68">
        <v>0</v>
      </c>
      <c r="DM68">
        <v>1</v>
      </c>
      <c r="DN68">
        <v>0</v>
      </c>
      <c r="DO68">
        <v>0</v>
      </c>
      <c r="DP68">
        <v>1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2</v>
      </c>
      <c r="DW68">
        <v>27</v>
      </c>
      <c r="DX68">
        <v>3</v>
      </c>
      <c r="DY68">
        <v>1</v>
      </c>
      <c r="DZ68">
        <v>0</v>
      </c>
      <c r="EA68">
        <v>11</v>
      </c>
      <c r="EB68">
        <v>0</v>
      </c>
      <c r="EC68">
        <v>1</v>
      </c>
      <c r="ED68">
        <v>2</v>
      </c>
      <c r="EE68">
        <v>1</v>
      </c>
      <c r="EF68">
        <v>7</v>
      </c>
      <c r="EG68">
        <v>1</v>
      </c>
      <c r="EH68">
        <v>27</v>
      </c>
      <c r="EI68">
        <v>2</v>
      </c>
      <c r="EJ68">
        <v>0</v>
      </c>
      <c r="EK68">
        <v>2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2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</row>
    <row r="69" spans="1:172" ht="14.25">
      <c r="A69">
        <v>64</v>
      </c>
      <c r="B69" t="str">
        <f>"100210"</f>
        <v>100210</v>
      </c>
      <c r="C69" t="str">
        <f>"Strzelce"</f>
        <v>Strzelce</v>
      </c>
      <c r="D69" t="str">
        <f t="shared" si="6"/>
        <v>kutnowski</v>
      </c>
      <c r="E69" t="str">
        <f t="shared" si="3"/>
        <v>łódzkie</v>
      </c>
      <c r="F69">
        <v>1</v>
      </c>
      <c r="G69" t="str">
        <f>"Gminny Ośrodek Kultury, ul. Główna 10, 99 - 307 Strzelce"</f>
        <v>Gminny Ośrodek Kultury, ul. Główna 10, 99 - 307 Strzelce</v>
      </c>
      <c r="H69">
        <v>1608</v>
      </c>
      <c r="I69">
        <v>1608</v>
      </c>
      <c r="J69">
        <v>0</v>
      </c>
      <c r="K69">
        <v>1130</v>
      </c>
      <c r="L69">
        <v>842</v>
      </c>
      <c r="M69">
        <v>288</v>
      </c>
      <c r="N69">
        <v>288</v>
      </c>
      <c r="O69">
        <v>0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288</v>
      </c>
      <c r="Z69">
        <v>0</v>
      </c>
      <c r="AA69">
        <v>0</v>
      </c>
      <c r="AB69">
        <v>288</v>
      </c>
      <c r="AC69">
        <v>8</v>
      </c>
      <c r="AD69">
        <v>280</v>
      </c>
      <c r="AE69">
        <v>15</v>
      </c>
      <c r="AF69">
        <v>10</v>
      </c>
      <c r="AG69">
        <v>3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1</v>
      </c>
      <c r="AO69">
        <v>0</v>
      </c>
      <c r="AP69">
        <v>15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14</v>
      </c>
      <c r="BD69">
        <v>6</v>
      </c>
      <c r="BE69">
        <v>1</v>
      </c>
      <c r="BF69">
        <v>2</v>
      </c>
      <c r="BG69">
        <v>1</v>
      </c>
      <c r="BH69">
        <v>0</v>
      </c>
      <c r="BI69">
        <v>0</v>
      </c>
      <c r="BJ69">
        <v>0</v>
      </c>
      <c r="BK69">
        <v>0</v>
      </c>
      <c r="BL69">
        <v>3</v>
      </c>
      <c r="BM69">
        <v>1</v>
      </c>
      <c r="BN69">
        <v>14</v>
      </c>
      <c r="BO69">
        <v>172</v>
      </c>
      <c r="BP69">
        <v>151</v>
      </c>
      <c r="BQ69">
        <v>4</v>
      </c>
      <c r="BR69">
        <v>3</v>
      </c>
      <c r="BS69">
        <v>0</v>
      </c>
      <c r="BT69">
        <v>8</v>
      </c>
      <c r="BU69">
        <v>0</v>
      </c>
      <c r="BV69">
        <v>0</v>
      </c>
      <c r="BW69">
        <v>1</v>
      </c>
      <c r="BX69">
        <v>1</v>
      </c>
      <c r="BY69">
        <v>4</v>
      </c>
      <c r="BZ69">
        <v>172</v>
      </c>
      <c r="CA69">
        <v>1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1</v>
      </c>
      <c r="CI69">
        <v>0</v>
      </c>
      <c r="CJ69">
        <v>0</v>
      </c>
      <c r="CK69">
        <v>0</v>
      </c>
      <c r="CL69">
        <v>1</v>
      </c>
      <c r="CM69">
        <v>1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1</v>
      </c>
      <c r="CY69">
        <v>14</v>
      </c>
      <c r="CZ69">
        <v>3</v>
      </c>
      <c r="DA69">
        <v>1</v>
      </c>
      <c r="DB69">
        <v>1</v>
      </c>
      <c r="DC69">
        <v>1</v>
      </c>
      <c r="DD69">
        <v>0</v>
      </c>
      <c r="DE69">
        <v>0</v>
      </c>
      <c r="DF69">
        <v>3</v>
      </c>
      <c r="DG69">
        <v>0</v>
      </c>
      <c r="DH69">
        <v>2</v>
      </c>
      <c r="DI69">
        <v>3</v>
      </c>
      <c r="DJ69">
        <v>14</v>
      </c>
      <c r="DK69">
        <v>42</v>
      </c>
      <c r="DL69">
        <v>25</v>
      </c>
      <c r="DM69">
        <v>8</v>
      </c>
      <c r="DN69">
        <v>0</v>
      </c>
      <c r="DO69">
        <v>0</v>
      </c>
      <c r="DP69">
        <v>0</v>
      </c>
      <c r="DQ69">
        <v>1</v>
      </c>
      <c r="DR69">
        <v>3</v>
      </c>
      <c r="DS69">
        <v>1</v>
      </c>
      <c r="DT69">
        <v>0</v>
      </c>
      <c r="DU69">
        <v>4</v>
      </c>
      <c r="DV69">
        <v>42</v>
      </c>
      <c r="DW69">
        <v>19</v>
      </c>
      <c r="DX69">
        <v>3</v>
      </c>
      <c r="DY69">
        <v>1</v>
      </c>
      <c r="DZ69">
        <v>0</v>
      </c>
      <c r="EA69">
        <v>4</v>
      </c>
      <c r="EB69">
        <v>2</v>
      </c>
      <c r="EC69">
        <v>0</v>
      </c>
      <c r="ED69">
        <v>3</v>
      </c>
      <c r="EE69">
        <v>1</v>
      </c>
      <c r="EF69">
        <v>4</v>
      </c>
      <c r="EG69">
        <v>1</v>
      </c>
      <c r="EH69">
        <v>19</v>
      </c>
      <c r="EI69">
        <v>1</v>
      </c>
      <c r="EJ69">
        <v>1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1</v>
      </c>
      <c r="ES69">
        <v>1</v>
      </c>
      <c r="ET69">
        <v>1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1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</row>
    <row r="70" spans="1:172" ht="14.25">
      <c r="A70">
        <v>65</v>
      </c>
      <c r="B70" t="str">
        <f>"100210"</f>
        <v>100210</v>
      </c>
      <c r="C70" t="str">
        <f>"Strzelce"</f>
        <v>Strzelce</v>
      </c>
      <c r="D70" t="str">
        <f aca="true" t="shared" si="11" ref="D70:D81">"kutnowski"</f>
        <v>kutnowski</v>
      </c>
      <c r="E70" t="str">
        <f aca="true" t="shared" si="12" ref="E70:E133">"łódzkie"</f>
        <v>łódzkie</v>
      </c>
      <c r="F70">
        <v>2</v>
      </c>
      <c r="G70" t="str">
        <f>"Ośrodek Zdrowia, Siemianów 24, 99 - 306 Łanięta"</f>
        <v>Ośrodek Zdrowia, Siemianów 24, 99 - 306 Łanięta</v>
      </c>
      <c r="H70">
        <v>637</v>
      </c>
      <c r="I70">
        <v>637</v>
      </c>
      <c r="J70">
        <v>0</v>
      </c>
      <c r="K70">
        <v>450</v>
      </c>
      <c r="L70">
        <v>346</v>
      </c>
      <c r="M70">
        <v>104</v>
      </c>
      <c r="N70">
        <v>104</v>
      </c>
      <c r="O70">
        <v>0</v>
      </c>
      <c r="P70">
        <v>0</v>
      </c>
      <c r="Q70">
        <v>2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104</v>
      </c>
      <c r="Z70">
        <v>0</v>
      </c>
      <c r="AA70">
        <v>0</v>
      </c>
      <c r="AB70">
        <v>104</v>
      </c>
      <c r="AC70">
        <v>0</v>
      </c>
      <c r="AD70">
        <v>104</v>
      </c>
      <c r="AE70">
        <v>7</v>
      </c>
      <c r="AF70">
        <v>6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</v>
      </c>
      <c r="AM70">
        <v>0</v>
      </c>
      <c r="AN70">
        <v>0</v>
      </c>
      <c r="AO70">
        <v>0</v>
      </c>
      <c r="AP70">
        <v>7</v>
      </c>
      <c r="AQ70">
        <v>1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3</v>
      </c>
      <c r="BD70">
        <v>3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3</v>
      </c>
      <c r="BO70">
        <v>63</v>
      </c>
      <c r="BP70">
        <v>60</v>
      </c>
      <c r="BQ70">
        <v>1</v>
      </c>
      <c r="BR70">
        <v>0</v>
      </c>
      <c r="BS70">
        <v>1</v>
      </c>
      <c r="BT70">
        <v>0</v>
      </c>
      <c r="BU70">
        <v>0</v>
      </c>
      <c r="BV70">
        <v>0</v>
      </c>
      <c r="BW70">
        <v>1</v>
      </c>
      <c r="BX70">
        <v>0</v>
      </c>
      <c r="BY70">
        <v>0</v>
      </c>
      <c r="BZ70">
        <v>63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6</v>
      </c>
      <c r="CZ70">
        <v>4</v>
      </c>
      <c r="DA70">
        <v>1</v>
      </c>
      <c r="DB70">
        <v>0</v>
      </c>
      <c r="DC70">
        <v>0</v>
      </c>
      <c r="DD70">
        <v>0</v>
      </c>
      <c r="DE70">
        <v>1</v>
      </c>
      <c r="DF70">
        <v>0</v>
      </c>
      <c r="DG70">
        <v>0</v>
      </c>
      <c r="DH70">
        <v>0</v>
      </c>
      <c r="DI70">
        <v>0</v>
      </c>
      <c r="DJ70">
        <v>6</v>
      </c>
      <c r="DK70">
        <v>11</v>
      </c>
      <c r="DL70">
        <v>10</v>
      </c>
      <c r="DM70">
        <v>1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11</v>
      </c>
      <c r="DW70">
        <v>11</v>
      </c>
      <c r="DX70">
        <v>4</v>
      </c>
      <c r="DY70">
        <v>1</v>
      </c>
      <c r="DZ70">
        <v>0</v>
      </c>
      <c r="EA70">
        <v>4</v>
      </c>
      <c r="EB70">
        <v>0</v>
      </c>
      <c r="EC70">
        <v>0</v>
      </c>
      <c r="ED70">
        <v>0</v>
      </c>
      <c r="EE70">
        <v>0</v>
      </c>
      <c r="EF70">
        <v>2</v>
      </c>
      <c r="EG70">
        <v>0</v>
      </c>
      <c r="EH70">
        <v>11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2</v>
      </c>
      <c r="ET70">
        <v>0</v>
      </c>
      <c r="EU70">
        <v>2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2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</row>
    <row r="71" spans="1:172" ht="14.25">
      <c r="A71">
        <v>66</v>
      </c>
      <c r="B71" t="str">
        <f>"100210"</f>
        <v>100210</v>
      </c>
      <c r="C71" t="str">
        <f>"Strzelce"</f>
        <v>Strzelce</v>
      </c>
      <c r="D71" t="str">
        <f t="shared" si="11"/>
        <v>kutnowski</v>
      </c>
      <c r="E71" t="str">
        <f t="shared" si="12"/>
        <v>łódzkie</v>
      </c>
      <c r="F71">
        <v>3</v>
      </c>
      <c r="G71" t="str">
        <f>"Budynek byłej Szkoły Podstawowowej, Muchnice Nowe 32, 99 - 307 Strzelce"</f>
        <v>Budynek byłej Szkoły Podstawowowej, Muchnice Nowe 32, 99 - 307 Strzelce</v>
      </c>
      <c r="H71">
        <v>631</v>
      </c>
      <c r="I71">
        <v>631</v>
      </c>
      <c r="J71">
        <v>0</v>
      </c>
      <c r="K71">
        <v>450</v>
      </c>
      <c r="L71">
        <v>332</v>
      </c>
      <c r="M71">
        <v>118</v>
      </c>
      <c r="N71">
        <v>118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118</v>
      </c>
      <c r="Z71">
        <v>0</v>
      </c>
      <c r="AA71">
        <v>0</v>
      </c>
      <c r="AB71">
        <v>118</v>
      </c>
      <c r="AC71">
        <v>7</v>
      </c>
      <c r="AD71">
        <v>111</v>
      </c>
      <c r="AE71">
        <v>4</v>
      </c>
      <c r="AF71">
        <v>3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1</v>
      </c>
      <c r="AO71">
        <v>0</v>
      </c>
      <c r="AP71">
        <v>4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7</v>
      </c>
      <c r="BD71">
        <v>4</v>
      </c>
      <c r="BE71">
        <v>3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7</v>
      </c>
      <c r="BO71">
        <v>54</v>
      </c>
      <c r="BP71">
        <v>48</v>
      </c>
      <c r="BQ71">
        <v>4</v>
      </c>
      <c r="BR71">
        <v>0</v>
      </c>
      <c r="BS71">
        <v>1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1</v>
      </c>
      <c r="BZ71">
        <v>54</v>
      </c>
      <c r="CA71">
        <v>1</v>
      </c>
      <c r="CB71">
        <v>0</v>
      </c>
      <c r="CC71">
        <v>0</v>
      </c>
      <c r="CD71">
        <v>0</v>
      </c>
      <c r="CE71">
        <v>1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</v>
      </c>
      <c r="CM71">
        <v>3</v>
      </c>
      <c r="CN71">
        <v>0</v>
      </c>
      <c r="CO71">
        <v>2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1</v>
      </c>
      <c r="CV71">
        <v>0</v>
      </c>
      <c r="CW71">
        <v>0</v>
      </c>
      <c r="CX71">
        <v>3</v>
      </c>
      <c r="CY71">
        <v>1</v>
      </c>
      <c r="CZ71">
        <v>1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1</v>
      </c>
      <c r="DK71">
        <v>13</v>
      </c>
      <c r="DL71">
        <v>11</v>
      </c>
      <c r="DM71">
        <v>1</v>
      </c>
      <c r="DN71">
        <v>0</v>
      </c>
      <c r="DO71">
        <v>1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13</v>
      </c>
      <c r="DW71">
        <v>26</v>
      </c>
      <c r="DX71">
        <v>7</v>
      </c>
      <c r="DY71">
        <v>2</v>
      </c>
      <c r="DZ71">
        <v>0</v>
      </c>
      <c r="EA71">
        <v>6</v>
      </c>
      <c r="EB71">
        <v>2</v>
      </c>
      <c r="EC71">
        <v>0</v>
      </c>
      <c r="ED71">
        <v>2</v>
      </c>
      <c r="EE71">
        <v>0</v>
      </c>
      <c r="EF71">
        <v>6</v>
      </c>
      <c r="EG71">
        <v>1</v>
      </c>
      <c r="EH71">
        <v>26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1</v>
      </c>
      <c r="ET71">
        <v>0</v>
      </c>
      <c r="EU71">
        <v>1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1</v>
      </c>
      <c r="FE71">
        <v>1</v>
      </c>
      <c r="FF71">
        <v>0</v>
      </c>
      <c r="FG71">
        <v>0</v>
      </c>
      <c r="FH71">
        <v>0</v>
      </c>
      <c r="FI71">
        <v>1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1</v>
      </c>
    </row>
    <row r="72" spans="1:172" ht="14.25">
      <c r="A72">
        <v>67</v>
      </c>
      <c r="B72" t="str">
        <f>"100210"</f>
        <v>100210</v>
      </c>
      <c r="C72" t="str">
        <f>"Strzelce"</f>
        <v>Strzelce</v>
      </c>
      <c r="D72" t="str">
        <f t="shared" si="11"/>
        <v>kutnowski</v>
      </c>
      <c r="E72" t="str">
        <f t="shared" si="12"/>
        <v>łódzkie</v>
      </c>
      <c r="F72">
        <v>4</v>
      </c>
      <c r="G72" t="str">
        <f>"Świetlica wiejska, Muchnów 38, 99 - 307 Strzelce"</f>
        <v>Świetlica wiejska, Muchnów 38, 99 - 307 Strzelce</v>
      </c>
      <c r="H72">
        <v>439</v>
      </c>
      <c r="I72">
        <v>439</v>
      </c>
      <c r="J72">
        <v>0</v>
      </c>
      <c r="K72">
        <v>310</v>
      </c>
      <c r="L72">
        <v>241</v>
      </c>
      <c r="M72">
        <v>69</v>
      </c>
      <c r="N72">
        <v>69</v>
      </c>
      <c r="O72">
        <v>0</v>
      </c>
      <c r="P72">
        <v>0</v>
      </c>
      <c r="Q72">
        <v>2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69</v>
      </c>
      <c r="Z72">
        <v>0</v>
      </c>
      <c r="AA72">
        <v>0</v>
      </c>
      <c r="AB72">
        <v>69</v>
      </c>
      <c r="AC72">
        <v>4</v>
      </c>
      <c r="AD72">
        <v>65</v>
      </c>
      <c r="AE72">
        <v>9</v>
      </c>
      <c r="AF72">
        <v>8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9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4</v>
      </c>
      <c r="BD72">
        <v>2</v>
      </c>
      <c r="BE72">
        <v>2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4</v>
      </c>
      <c r="BO72">
        <v>36</v>
      </c>
      <c r="BP72">
        <v>29</v>
      </c>
      <c r="BQ72">
        <v>0</v>
      </c>
      <c r="BR72">
        <v>4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2</v>
      </c>
      <c r="BZ72">
        <v>36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4</v>
      </c>
      <c r="CZ72">
        <v>3</v>
      </c>
      <c r="DA72">
        <v>0</v>
      </c>
      <c r="DB72">
        <v>0</v>
      </c>
      <c r="DC72">
        <v>0</v>
      </c>
      <c r="DD72">
        <v>0</v>
      </c>
      <c r="DE72">
        <v>1</v>
      </c>
      <c r="DF72">
        <v>0</v>
      </c>
      <c r="DG72">
        <v>0</v>
      </c>
      <c r="DH72">
        <v>0</v>
      </c>
      <c r="DI72">
        <v>0</v>
      </c>
      <c r="DJ72">
        <v>4</v>
      </c>
      <c r="DK72">
        <v>7</v>
      </c>
      <c r="DL72">
        <v>7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7</v>
      </c>
      <c r="DW72">
        <v>5</v>
      </c>
      <c r="DX72">
        <v>2</v>
      </c>
      <c r="DY72">
        <v>0</v>
      </c>
      <c r="DZ72">
        <v>0</v>
      </c>
      <c r="EA72">
        <v>0</v>
      </c>
      <c r="EB72">
        <v>1</v>
      </c>
      <c r="EC72">
        <v>0</v>
      </c>
      <c r="ED72">
        <v>1</v>
      </c>
      <c r="EE72">
        <v>0</v>
      </c>
      <c r="EF72">
        <v>1</v>
      </c>
      <c r="EG72">
        <v>0</v>
      </c>
      <c r="EH72">
        <v>5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</row>
    <row r="73" spans="1:172" ht="14.25">
      <c r="A73">
        <v>68</v>
      </c>
      <c r="B73" t="str">
        <f aca="true" t="shared" si="13" ref="B73:B81">"100211"</f>
        <v>100211</v>
      </c>
      <c r="C73" t="str">
        <f aca="true" t="shared" si="14" ref="C73:C81">"Żychlin"</f>
        <v>Żychlin</v>
      </c>
      <c r="D73" t="str">
        <f t="shared" si="11"/>
        <v>kutnowski</v>
      </c>
      <c r="E73" t="str">
        <f t="shared" si="12"/>
        <v>łódzkie</v>
      </c>
      <c r="F73">
        <v>1</v>
      </c>
      <c r="G73" t="str">
        <f>"Szkoła Podstawowa, ul. Szkolna 4, Grabów, 99-319 Dobrzelin"</f>
        <v>Szkoła Podstawowa, ul. Szkolna 4, Grabów, 99-319 Dobrzelin</v>
      </c>
      <c r="H73">
        <v>1687</v>
      </c>
      <c r="I73">
        <v>1687</v>
      </c>
      <c r="J73">
        <v>0</v>
      </c>
      <c r="K73">
        <v>1190</v>
      </c>
      <c r="L73">
        <v>984</v>
      </c>
      <c r="M73">
        <v>206</v>
      </c>
      <c r="N73">
        <v>206</v>
      </c>
      <c r="O73">
        <v>0</v>
      </c>
      <c r="P73">
        <v>0</v>
      </c>
      <c r="Q73">
        <v>2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206</v>
      </c>
      <c r="Z73">
        <v>0</v>
      </c>
      <c r="AA73">
        <v>0</v>
      </c>
      <c r="AB73">
        <v>206</v>
      </c>
      <c r="AC73">
        <v>12</v>
      </c>
      <c r="AD73">
        <v>194</v>
      </c>
      <c r="AE73">
        <v>2</v>
      </c>
      <c r="AF73">
        <v>2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2</v>
      </c>
      <c r="AQ73">
        <v>4</v>
      </c>
      <c r="AR73">
        <v>2</v>
      </c>
      <c r="AS73">
        <v>1</v>
      </c>
      <c r="AT73">
        <v>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4</v>
      </c>
      <c r="BC73">
        <v>15</v>
      </c>
      <c r="BD73">
        <v>3</v>
      </c>
      <c r="BE73">
        <v>4</v>
      </c>
      <c r="BF73">
        <v>1</v>
      </c>
      <c r="BG73">
        <v>0</v>
      </c>
      <c r="BH73">
        <v>0</v>
      </c>
      <c r="BI73">
        <v>1</v>
      </c>
      <c r="BJ73">
        <v>0</v>
      </c>
      <c r="BK73">
        <v>0</v>
      </c>
      <c r="BL73">
        <v>5</v>
      </c>
      <c r="BM73">
        <v>1</v>
      </c>
      <c r="BN73">
        <v>15</v>
      </c>
      <c r="BO73">
        <v>90</v>
      </c>
      <c r="BP73">
        <v>84</v>
      </c>
      <c r="BQ73">
        <v>1</v>
      </c>
      <c r="BR73">
        <v>2</v>
      </c>
      <c r="BS73">
        <v>2</v>
      </c>
      <c r="BT73">
        <v>0</v>
      </c>
      <c r="BU73">
        <v>0</v>
      </c>
      <c r="BV73">
        <v>0</v>
      </c>
      <c r="BW73">
        <v>0</v>
      </c>
      <c r="BX73">
        <v>1</v>
      </c>
      <c r="BY73">
        <v>0</v>
      </c>
      <c r="BZ73">
        <v>90</v>
      </c>
      <c r="CA73">
        <v>5</v>
      </c>
      <c r="CB73">
        <v>1</v>
      </c>
      <c r="CC73">
        <v>3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1</v>
      </c>
      <c r="CK73">
        <v>0</v>
      </c>
      <c r="CL73">
        <v>5</v>
      </c>
      <c r="CM73">
        <v>2</v>
      </c>
      <c r="CN73">
        <v>1</v>
      </c>
      <c r="CO73">
        <v>0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2</v>
      </c>
      <c r="CY73">
        <v>18</v>
      </c>
      <c r="CZ73">
        <v>10</v>
      </c>
      <c r="DA73">
        <v>2</v>
      </c>
      <c r="DB73">
        <v>1</v>
      </c>
      <c r="DC73">
        <v>1</v>
      </c>
      <c r="DD73">
        <v>0</v>
      </c>
      <c r="DE73">
        <v>2</v>
      </c>
      <c r="DF73">
        <v>0</v>
      </c>
      <c r="DG73">
        <v>0</v>
      </c>
      <c r="DH73">
        <v>2</v>
      </c>
      <c r="DI73">
        <v>0</v>
      </c>
      <c r="DJ73">
        <v>18</v>
      </c>
      <c r="DK73">
        <v>45</v>
      </c>
      <c r="DL73">
        <v>36</v>
      </c>
      <c r="DM73">
        <v>3</v>
      </c>
      <c r="DN73">
        <v>2</v>
      </c>
      <c r="DO73">
        <v>1</v>
      </c>
      <c r="DP73">
        <v>0</v>
      </c>
      <c r="DQ73">
        <v>1</v>
      </c>
      <c r="DR73">
        <v>1</v>
      </c>
      <c r="DS73">
        <v>1</v>
      </c>
      <c r="DT73">
        <v>0</v>
      </c>
      <c r="DU73">
        <v>0</v>
      </c>
      <c r="DV73">
        <v>45</v>
      </c>
      <c r="DW73">
        <v>13</v>
      </c>
      <c r="DX73">
        <v>3</v>
      </c>
      <c r="DY73">
        <v>4</v>
      </c>
      <c r="DZ73">
        <v>0</v>
      </c>
      <c r="EA73">
        <v>3</v>
      </c>
      <c r="EB73">
        <v>1</v>
      </c>
      <c r="EC73">
        <v>0</v>
      </c>
      <c r="ED73">
        <v>0</v>
      </c>
      <c r="EE73">
        <v>1</v>
      </c>
      <c r="EF73">
        <v>1</v>
      </c>
      <c r="EG73">
        <v>0</v>
      </c>
      <c r="EH73">
        <v>13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</row>
    <row r="74" spans="1:172" ht="14.25">
      <c r="A74">
        <v>69</v>
      </c>
      <c r="B74" t="str">
        <f t="shared" si="13"/>
        <v>100211</v>
      </c>
      <c r="C74" t="str">
        <f t="shared" si="14"/>
        <v>Żychlin</v>
      </c>
      <c r="D74" t="str">
        <f t="shared" si="11"/>
        <v>kutnowski</v>
      </c>
      <c r="E74" t="str">
        <f t="shared" si="12"/>
        <v>łódzkie</v>
      </c>
      <c r="F74">
        <v>2</v>
      </c>
      <c r="G74" t="str">
        <f>"Świetlica w budynku Ochotniczej Straży Pożarnej, ul. Górna 3, 99-321 Śleszyn"</f>
        <v>Świetlica w budynku Ochotniczej Straży Pożarnej, ul. Górna 3, 99-321 Śleszyn</v>
      </c>
      <c r="H74">
        <v>695</v>
      </c>
      <c r="I74">
        <v>695</v>
      </c>
      <c r="J74">
        <v>0</v>
      </c>
      <c r="K74">
        <v>490</v>
      </c>
      <c r="L74">
        <v>376</v>
      </c>
      <c r="M74">
        <v>114</v>
      </c>
      <c r="N74">
        <v>114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114</v>
      </c>
      <c r="Z74">
        <v>0</v>
      </c>
      <c r="AA74">
        <v>0</v>
      </c>
      <c r="AB74">
        <v>114</v>
      </c>
      <c r="AC74">
        <v>4</v>
      </c>
      <c r="AD74">
        <v>110</v>
      </c>
      <c r="AE74">
        <v>6</v>
      </c>
      <c r="AF74">
        <v>6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6</v>
      </c>
      <c r="AQ74">
        <v>1</v>
      </c>
      <c r="AR74">
        <v>0</v>
      </c>
      <c r="AS74">
        <v>1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1</v>
      </c>
      <c r="BC74">
        <v>4</v>
      </c>
      <c r="BD74">
        <v>4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4</v>
      </c>
      <c r="BO74">
        <v>47</v>
      </c>
      <c r="BP74">
        <v>45</v>
      </c>
      <c r="BQ74">
        <v>0</v>
      </c>
      <c r="BR74">
        <v>0</v>
      </c>
      <c r="BS74">
        <v>1</v>
      </c>
      <c r="BT74">
        <v>0</v>
      </c>
      <c r="BU74">
        <v>0</v>
      </c>
      <c r="BV74">
        <v>0</v>
      </c>
      <c r="BW74">
        <v>0</v>
      </c>
      <c r="BX74">
        <v>1</v>
      </c>
      <c r="BY74">
        <v>0</v>
      </c>
      <c r="BZ74">
        <v>47</v>
      </c>
      <c r="CA74">
        <v>3</v>
      </c>
      <c r="CB74">
        <v>0</v>
      </c>
      <c r="CC74">
        <v>1</v>
      </c>
      <c r="CD74">
        <v>1</v>
      </c>
      <c r="CE74">
        <v>1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3</v>
      </c>
      <c r="CM74">
        <v>5</v>
      </c>
      <c r="CN74">
        <v>1</v>
      </c>
      <c r="CO74">
        <v>0</v>
      </c>
      <c r="CP74">
        <v>0</v>
      </c>
      <c r="CQ74">
        <v>3</v>
      </c>
      <c r="CR74">
        <v>0</v>
      </c>
      <c r="CS74">
        <v>1</v>
      </c>
      <c r="CT74">
        <v>0</v>
      </c>
      <c r="CU74">
        <v>0</v>
      </c>
      <c r="CV74">
        <v>0</v>
      </c>
      <c r="CW74">
        <v>0</v>
      </c>
      <c r="CX74">
        <v>5</v>
      </c>
      <c r="CY74">
        <v>3</v>
      </c>
      <c r="CZ74">
        <v>2</v>
      </c>
      <c r="DA74">
        <v>1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3</v>
      </c>
      <c r="DK74">
        <v>12</v>
      </c>
      <c r="DL74">
        <v>9</v>
      </c>
      <c r="DM74">
        <v>1</v>
      </c>
      <c r="DN74">
        <v>0</v>
      </c>
      <c r="DO74">
        <v>0</v>
      </c>
      <c r="DP74">
        <v>1</v>
      </c>
      <c r="DQ74">
        <v>0</v>
      </c>
      <c r="DR74">
        <v>0</v>
      </c>
      <c r="DS74">
        <v>1</v>
      </c>
      <c r="DT74">
        <v>0</v>
      </c>
      <c r="DU74">
        <v>0</v>
      </c>
      <c r="DV74">
        <v>12</v>
      </c>
      <c r="DW74">
        <v>28</v>
      </c>
      <c r="DX74">
        <v>10</v>
      </c>
      <c r="DY74">
        <v>5</v>
      </c>
      <c r="DZ74">
        <v>0</v>
      </c>
      <c r="EA74">
        <v>10</v>
      </c>
      <c r="EB74">
        <v>0</v>
      </c>
      <c r="EC74">
        <v>2</v>
      </c>
      <c r="ED74">
        <v>0</v>
      </c>
      <c r="EE74">
        <v>1</v>
      </c>
      <c r="EF74">
        <v>0</v>
      </c>
      <c r="EG74">
        <v>0</v>
      </c>
      <c r="EH74">
        <v>28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1</v>
      </c>
      <c r="ET74">
        <v>1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1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</row>
    <row r="75" spans="1:172" ht="14.25">
      <c r="A75">
        <v>70</v>
      </c>
      <c r="B75" t="str">
        <f t="shared" si="13"/>
        <v>100211</v>
      </c>
      <c r="C75" t="str">
        <f t="shared" si="14"/>
        <v>Żychlin</v>
      </c>
      <c r="D75" t="str">
        <f t="shared" si="11"/>
        <v>kutnowski</v>
      </c>
      <c r="E75" t="str">
        <f t="shared" si="12"/>
        <v>łódzkie</v>
      </c>
      <c r="F75">
        <v>3</v>
      </c>
      <c r="G75" t="str">
        <f>"Społeczna Szkoła Podstawowa, Orątki Dolne 1, 99-320 Żychlin"</f>
        <v>Społeczna Szkoła Podstawowa, Orątki Dolne 1, 99-320 Żychlin</v>
      </c>
      <c r="H75">
        <v>445</v>
      </c>
      <c r="I75">
        <v>445</v>
      </c>
      <c r="J75">
        <v>0</v>
      </c>
      <c r="K75">
        <v>310</v>
      </c>
      <c r="L75">
        <v>258</v>
      </c>
      <c r="M75">
        <v>52</v>
      </c>
      <c r="N75">
        <v>52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51</v>
      </c>
      <c r="Z75">
        <v>0</v>
      </c>
      <c r="AA75">
        <v>0</v>
      </c>
      <c r="AB75">
        <v>51</v>
      </c>
      <c r="AC75">
        <v>3</v>
      </c>
      <c r="AD75">
        <v>48</v>
      </c>
      <c r="AE75">
        <v>2</v>
      </c>
      <c r="AF75">
        <v>2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2</v>
      </c>
      <c r="AQ75">
        <v>1</v>
      </c>
      <c r="AR75">
        <v>1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1</v>
      </c>
      <c r="BC75">
        <v>2</v>
      </c>
      <c r="BD75">
        <v>0</v>
      </c>
      <c r="BE75">
        <v>0</v>
      </c>
      <c r="BF75">
        <v>2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2</v>
      </c>
      <c r="BO75">
        <v>24</v>
      </c>
      <c r="BP75">
        <v>23</v>
      </c>
      <c r="BQ75">
        <v>0</v>
      </c>
      <c r="BR75">
        <v>0</v>
      </c>
      <c r="BS75">
        <v>1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24</v>
      </c>
      <c r="CA75">
        <v>2</v>
      </c>
      <c r="CB75">
        <v>0</v>
      </c>
      <c r="CC75">
        <v>1</v>
      </c>
      <c r="CD75">
        <v>0</v>
      </c>
      <c r="CE75">
        <v>1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2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1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1</v>
      </c>
      <c r="DG75">
        <v>0</v>
      </c>
      <c r="DH75">
        <v>0</v>
      </c>
      <c r="DI75">
        <v>0</v>
      </c>
      <c r="DJ75">
        <v>1</v>
      </c>
      <c r="DK75">
        <v>5</v>
      </c>
      <c r="DL75">
        <v>2</v>
      </c>
      <c r="DM75">
        <v>0</v>
      </c>
      <c r="DN75">
        <v>0</v>
      </c>
      <c r="DO75">
        <v>1</v>
      </c>
      <c r="DP75">
        <v>0</v>
      </c>
      <c r="DQ75">
        <v>0</v>
      </c>
      <c r="DR75">
        <v>0</v>
      </c>
      <c r="DS75">
        <v>2</v>
      </c>
      <c r="DT75">
        <v>0</v>
      </c>
      <c r="DU75">
        <v>0</v>
      </c>
      <c r="DV75">
        <v>5</v>
      </c>
      <c r="DW75">
        <v>10</v>
      </c>
      <c r="DX75">
        <v>8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1</v>
      </c>
      <c r="EE75">
        <v>0</v>
      </c>
      <c r="EF75">
        <v>0</v>
      </c>
      <c r="EG75">
        <v>0</v>
      </c>
      <c r="EH75">
        <v>10</v>
      </c>
      <c r="EI75">
        <v>1</v>
      </c>
      <c r="EJ75">
        <v>0</v>
      </c>
      <c r="EK75">
        <v>1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1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</row>
    <row r="76" spans="1:172" ht="14.25">
      <c r="A76">
        <v>71</v>
      </c>
      <c r="B76" t="str">
        <f t="shared" si="13"/>
        <v>100211</v>
      </c>
      <c r="C76" t="str">
        <f t="shared" si="14"/>
        <v>Żychlin</v>
      </c>
      <c r="D76" t="str">
        <f t="shared" si="11"/>
        <v>kutnowski</v>
      </c>
      <c r="E76" t="str">
        <f t="shared" si="12"/>
        <v>łódzkie</v>
      </c>
      <c r="F76">
        <v>4</v>
      </c>
      <c r="G76" t="str">
        <f>"Urząd Gminy (sala konferencyjna), ul. Barlickiego 15A, 99-320 Żychlin"</f>
        <v>Urząd Gminy (sala konferencyjna), ul. Barlickiego 15A, 99-320 Żychlin</v>
      </c>
      <c r="H76">
        <v>1462</v>
      </c>
      <c r="I76">
        <v>1462</v>
      </c>
      <c r="J76">
        <v>0</v>
      </c>
      <c r="K76">
        <v>1040</v>
      </c>
      <c r="L76">
        <v>815</v>
      </c>
      <c r="M76">
        <v>225</v>
      </c>
      <c r="N76">
        <v>225</v>
      </c>
      <c r="O76">
        <v>0</v>
      </c>
      <c r="P76">
        <v>2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225</v>
      </c>
      <c r="Z76">
        <v>0</v>
      </c>
      <c r="AA76">
        <v>0</v>
      </c>
      <c r="AB76">
        <v>225</v>
      </c>
      <c r="AC76">
        <v>10</v>
      </c>
      <c r="AD76">
        <v>215</v>
      </c>
      <c r="AE76">
        <v>7</v>
      </c>
      <c r="AF76">
        <v>6</v>
      </c>
      <c r="AG76">
        <v>1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7</v>
      </c>
      <c r="AQ76">
        <v>1</v>
      </c>
      <c r="AR76">
        <v>1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1</v>
      </c>
      <c r="BC76">
        <v>21</v>
      </c>
      <c r="BD76">
        <v>6</v>
      </c>
      <c r="BE76">
        <v>4</v>
      </c>
      <c r="BF76">
        <v>0</v>
      </c>
      <c r="BG76">
        <v>1</v>
      </c>
      <c r="BH76">
        <v>1</v>
      </c>
      <c r="BI76">
        <v>3</v>
      </c>
      <c r="BJ76">
        <v>0</v>
      </c>
      <c r="BK76">
        <v>0</v>
      </c>
      <c r="BL76">
        <v>6</v>
      </c>
      <c r="BM76">
        <v>0</v>
      </c>
      <c r="BN76">
        <v>21</v>
      </c>
      <c r="BO76">
        <v>105</v>
      </c>
      <c r="BP76">
        <v>94</v>
      </c>
      <c r="BQ76">
        <v>7</v>
      </c>
      <c r="BR76">
        <v>1</v>
      </c>
      <c r="BS76">
        <v>1</v>
      </c>
      <c r="BT76">
        <v>1</v>
      </c>
      <c r="BU76">
        <v>0</v>
      </c>
      <c r="BV76">
        <v>0</v>
      </c>
      <c r="BW76">
        <v>0</v>
      </c>
      <c r="BX76">
        <v>0</v>
      </c>
      <c r="BY76">
        <v>1</v>
      </c>
      <c r="BZ76">
        <v>105</v>
      </c>
      <c r="CA76">
        <v>3</v>
      </c>
      <c r="CB76">
        <v>2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1</v>
      </c>
      <c r="CK76">
        <v>0</v>
      </c>
      <c r="CL76">
        <v>3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1</v>
      </c>
      <c r="CX76">
        <v>1</v>
      </c>
      <c r="CY76">
        <v>12</v>
      </c>
      <c r="CZ76">
        <v>9</v>
      </c>
      <c r="DA76">
        <v>0</v>
      </c>
      <c r="DB76">
        <v>0</v>
      </c>
      <c r="DC76">
        <v>0</v>
      </c>
      <c r="DD76">
        <v>1</v>
      </c>
      <c r="DE76">
        <v>0</v>
      </c>
      <c r="DF76">
        <v>0</v>
      </c>
      <c r="DG76">
        <v>0</v>
      </c>
      <c r="DH76">
        <v>1</v>
      </c>
      <c r="DI76">
        <v>1</v>
      </c>
      <c r="DJ76">
        <v>12</v>
      </c>
      <c r="DK76">
        <v>39</v>
      </c>
      <c r="DL76">
        <v>31</v>
      </c>
      <c r="DM76">
        <v>5</v>
      </c>
      <c r="DN76">
        <v>1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2</v>
      </c>
      <c r="DV76">
        <v>39</v>
      </c>
      <c r="DW76">
        <v>25</v>
      </c>
      <c r="DX76">
        <v>3</v>
      </c>
      <c r="DY76">
        <v>1</v>
      </c>
      <c r="DZ76">
        <v>0</v>
      </c>
      <c r="EA76">
        <v>10</v>
      </c>
      <c r="EB76">
        <v>0</v>
      </c>
      <c r="EC76">
        <v>0</v>
      </c>
      <c r="ED76">
        <v>0</v>
      </c>
      <c r="EE76">
        <v>0</v>
      </c>
      <c r="EF76">
        <v>5</v>
      </c>
      <c r="EG76">
        <v>6</v>
      </c>
      <c r="EH76">
        <v>25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1</v>
      </c>
      <c r="ET76">
        <v>0</v>
      </c>
      <c r="EU76">
        <v>1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1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</row>
    <row r="77" spans="1:172" ht="14.25">
      <c r="A77">
        <v>72</v>
      </c>
      <c r="B77" t="str">
        <f t="shared" si="13"/>
        <v>100211</v>
      </c>
      <c r="C77" t="str">
        <f t="shared" si="14"/>
        <v>Żychlin</v>
      </c>
      <c r="D77" t="str">
        <f t="shared" si="11"/>
        <v>kutnowski</v>
      </c>
      <c r="E77" t="str">
        <f t="shared" si="12"/>
        <v>łódzkie</v>
      </c>
      <c r="F77">
        <v>5</v>
      </c>
      <c r="G77" t="str">
        <f>"Zespół Szkół Nr 1, ul. Łukasińskiego 21, 99-320 Żychlin"</f>
        <v>Zespół Szkół Nr 1, ul. Łukasińskiego 21, 99-320 Żychlin</v>
      </c>
      <c r="H77">
        <v>1335</v>
      </c>
      <c r="I77">
        <v>1335</v>
      </c>
      <c r="J77">
        <v>0</v>
      </c>
      <c r="K77">
        <v>939</v>
      </c>
      <c r="L77">
        <v>722</v>
      </c>
      <c r="M77">
        <v>217</v>
      </c>
      <c r="N77">
        <v>217</v>
      </c>
      <c r="O77">
        <v>0</v>
      </c>
      <c r="P77">
        <v>0</v>
      </c>
      <c r="Q77">
        <v>2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217</v>
      </c>
      <c r="Z77">
        <v>0</v>
      </c>
      <c r="AA77">
        <v>0</v>
      </c>
      <c r="AB77">
        <v>217</v>
      </c>
      <c r="AC77">
        <v>12</v>
      </c>
      <c r="AD77">
        <v>205</v>
      </c>
      <c r="AE77">
        <v>4</v>
      </c>
      <c r="AF77">
        <v>2</v>
      </c>
      <c r="AG77">
        <v>0</v>
      </c>
      <c r="AH77">
        <v>1</v>
      </c>
      <c r="AI77">
        <v>1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4</v>
      </c>
      <c r="AQ77">
        <v>1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</v>
      </c>
      <c r="BC77">
        <v>21</v>
      </c>
      <c r="BD77">
        <v>12</v>
      </c>
      <c r="BE77">
        <v>3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6</v>
      </c>
      <c r="BM77">
        <v>0</v>
      </c>
      <c r="BN77">
        <v>21</v>
      </c>
      <c r="BO77">
        <v>68</v>
      </c>
      <c r="BP77">
        <v>60</v>
      </c>
      <c r="BQ77">
        <v>2</v>
      </c>
      <c r="BR77">
        <v>1</v>
      </c>
      <c r="BS77">
        <v>4</v>
      </c>
      <c r="BT77">
        <v>0</v>
      </c>
      <c r="BU77">
        <v>0</v>
      </c>
      <c r="BV77">
        <v>1</v>
      </c>
      <c r="BW77">
        <v>0</v>
      </c>
      <c r="BX77">
        <v>0</v>
      </c>
      <c r="BY77">
        <v>0</v>
      </c>
      <c r="BZ77">
        <v>68</v>
      </c>
      <c r="CA77">
        <v>6</v>
      </c>
      <c r="CB77">
        <v>3</v>
      </c>
      <c r="CC77">
        <v>0</v>
      </c>
      <c r="CD77">
        <v>1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2</v>
      </c>
      <c r="CK77">
        <v>0</v>
      </c>
      <c r="CL77">
        <v>6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8</v>
      </c>
      <c r="CZ77">
        <v>6</v>
      </c>
      <c r="DA77">
        <v>1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1</v>
      </c>
      <c r="DJ77">
        <v>8</v>
      </c>
      <c r="DK77">
        <v>90</v>
      </c>
      <c r="DL77">
        <v>66</v>
      </c>
      <c r="DM77">
        <v>20</v>
      </c>
      <c r="DN77">
        <v>0</v>
      </c>
      <c r="DO77">
        <v>0</v>
      </c>
      <c r="DP77">
        <v>1</v>
      </c>
      <c r="DQ77">
        <v>0</v>
      </c>
      <c r="DR77">
        <v>0</v>
      </c>
      <c r="DS77">
        <v>1</v>
      </c>
      <c r="DT77">
        <v>0</v>
      </c>
      <c r="DU77">
        <v>2</v>
      </c>
      <c r="DV77">
        <v>90</v>
      </c>
      <c r="DW77">
        <v>4</v>
      </c>
      <c r="DX77">
        <v>1</v>
      </c>
      <c r="DY77">
        <v>1</v>
      </c>
      <c r="DZ77">
        <v>0</v>
      </c>
      <c r="EA77">
        <v>0</v>
      </c>
      <c r="EB77">
        <v>1</v>
      </c>
      <c r="EC77">
        <v>0</v>
      </c>
      <c r="ED77">
        <v>0</v>
      </c>
      <c r="EE77">
        <v>1</v>
      </c>
      <c r="EF77">
        <v>0</v>
      </c>
      <c r="EG77">
        <v>0</v>
      </c>
      <c r="EH77">
        <v>4</v>
      </c>
      <c r="EI77">
        <v>2</v>
      </c>
      <c r="EJ77">
        <v>0</v>
      </c>
      <c r="EK77">
        <v>2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2</v>
      </c>
      <c r="ES77">
        <v>1</v>
      </c>
      <c r="ET77">
        <v>0</v>
      </c>
      <c r="EU77">
        <v>1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1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</row>
    <row r="78" spans="1:172" ht="14.25">
      <c r="A78">
        <v>73</v>
      </c>
      <c r="B78" t="str">
        <f t="shared" si="13"/>
        <v>100211</v>
      </c>
      <c r="C78" t="str">
        <f t="shared" si="14"/>
        <v>Żychlin</v>
      </c>
      <c r="D78" t="str">
        <f t="shared" si="11"/>
        <v>kutnowski</v>
      </c>
      <c r="E78" t="str">
        <f t="shared" si="12"/>
        <v>łódzkie</v>
      </c>
      <c r="F78">
        <v>6</v>
      </c>
      <c r="G78" t="str">
        <f>"Szkoła Podstawowa Nr 1 (stołówka), ul. 1 Maja 23, 99-320 Żychlin"</f>
        <v>Szkoła Podstawowa Nr 1 (stołówka), ul. 1 Maja 23, 99-320 Żychlin</v>
      </c>
      <c r="H78">
        <v>1383</v>
      </c>
      <c r="I78">
        <v>1383</v>
      </c>
      <c r="J78">
        <v>0</v>
      </c>
      <c r="K78">
        <v>980</v>
      </c>
      <c r="L78">
        <v>790</v>
      </c>
      <c r="M78">
        <v>190</v>
      </c>
      <c r="N78">
        <v>190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190</v>
      </c>
      <c r="Z78">
        <v>0</v>
      </c>
      <c r="AA78">
        <v>0</v>
      </c>
      <c r="AB78">
        <v>190</v>
      </c>
      <c r="AC78">
        <v>13</v>
      </c>
      <c r="AD78">
        <v>177</v>
      </c>
      <c r="AE78">
        <v>19</v>
      </c>
      <c r="AF78">
        <v>14</v>
      </c>
      <c r="AG78">
        <v>0</v>
      </c>
      <c r="AH78">
        <v>1</v>
      </c>
      <c r="AI78">
        <v>0</v>
      </c>
      <c r="AJ78">
        <v>2</v>
      </c>
      <c r="AK78">
        <v>0</v>
      </c>
      <c r="AL78">
        <v>0</v>
      </c>
      <c r="AM78">
        <v>1</v>
      </c>
      <c r="AN78">
        <v>0</v>
      </c>
      <c r="AO78">
        <v>1</v>
      </c>
      <c r="AP78">
        <v>19</v>
      </c>
      <c r="AQ78">
        <v>1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1</v>
      </c>
      <c r="BA78">
        <v>0</v>
      </c>
      <c r="BB78">
        <v>1</v>
      </c>
      <c r="BC78">
        <v>20</v>
      </c>
      <c r="BD78">
        <v>9</v>
      </c>
      <c r="BE78">
        <v>2</v>
      </c>
      <c r="BF78">
        <v>0</v>
      </c>
      <c r="BG78">
        <v>1</v>
      </c>
      <c r="BH78">
        <v>0</v>
      </c>
      <c r="BI78">
        <v>2</v>
      </c>
      <c r="BJ78">
        <v>0</v>
      </c>
      <c r="BK78">
        <v>0</v>
      </c>
      <c r="BL78">
        <v>2</v>
      </c>
      <c r="BM78">
        <v>4</v>
      </c>
      <c r="BN78">
        <v>20</v>
      </c>
      <c r="BO78">
        <v>69</v>
      </c>
      <c r="BP78">
        <v>64</v>
      </c>
      <c r="BQ78">
        <v>2</v>
      </c>
      <c r="BR78">
        <v>2</v>
      </c>
      <c r="BS78">
        <v>0</v>
      </c>
      <c r="BT78">
        <v>1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69</v>
      </c>
      <c r="CA78">
        <v>7</v>
      </c>
      <c r="CB78">
        <v>2</v>
      </c>
      <c r="CC78">
        <v>5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7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1</v>
      </c>
      <c r="CT78">
        <v>0</v>
      </c>
      <c r="CU78">
        <v>0</v>
      </c>
      <c r="CV78">
        <v>0</v>
      </c>
      <c r="CW78">
        <v>0</v>
      </c>
      <c r="CX78">
        <v>1</v>
      </c>
      <c r="CY78">
        <v>15</v>
      </c>
      <c r="CZ78">
        <v>9</v>
      </c>
      <c r="DA78">
        <v>4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1</v>
      </c>
      <c r="DI78">
        <v>1</v>
      </c>
      <c r="DJ78">
        <v>15</v>
      </c>
      <c r="DK78">
        <v>28</v>
      </c>
      <c r="DL78">
        <v>24</v>
      </c>
      <c r="DM78">
        <v>2</v>
      </c>
      <c r="DN78">
        <v>0</v>
      </c>
      <c r="DO78">
        <v>0</v>
      </c>
      <c r="DP78">
        <v>1</v>
      </c>
      <c r="DQ78">
        <v>0</v>
      </c>
      <c r="DR78">
        <v>0</v>
      </c>
      <c r="DS78">
        <v>1</v>
      </c>
      <c r="DT78">
        <v>0</v>
      </c>
      <c r="DU78">
        <v>0</v>
      </c>
      <c r="DV78">
        <v>28</v>
      </c>
      <c r="DW78">
        <v>12</v>
      </c>
      <c r="DX78">
        <v>1</v>
      </c>
      <c r="DY78">
        <v>1</v>
      </c>
      <c r="DZ78">
        <v>0</v>
      </c>
      <c r="EA78">
        <v>4</v>
      </c>
      <c r="EB78">
        <v>0</v>
      </c>
      <c r="EC78">
        <v>1</v>
      </c>
      <c r="ED78">
        <v>0</v>
      </c>
      <c r="EE78">
        <v>0</v>
      </c>
      <c r="EF78">
        <v>1</v>
      </c>
      <c r="EG78">
        <v>4</v>
      </c>
      <c r="EH78">
        <v>12</v>
      </c>
      <c r="EI78">
        <v>4</v>
      </c>
      <c r="EJ78">
        <v>0</v>
      </c>
      <c r="EK78">
        <v>4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4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1</v>
      </c>
      <c r="FF78">
        <v>0</v>
      </c>
      <c r="FG78">
        <v>1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1</v>
      </c>
    </row>
    <row r="79" spans="1:172" ht="14.25">
      <c r="A79">
        <v>74</v>
      </c>
      <c r="B79" t="str">
        <f t="shared" si="13"/>
        <v>100211</v>
      </c>
      <c r="C79" t="str">
        <f t="shared" si="14"/>
        <v>Żychlin</v>
      </c>
      <c r="D79" t="str">
        <f t="shared" si="11"/>
        <v>kutnowski</v>
      </c>
      <c r="E79" t="str">
        <f t="shared" si="12"/>
        <v>łódzkie</v>
      </c>
      <c r="F79">
        <v>7</v>
      </c>
      <c r="G79" t="str">
        <f>"Żychliński Dom Kultury, ul. Fabryczna 3, 99-320 Żychlin"</f>
        <v>Żychliński Dom Kultury, ul. Fabryczna 3, 99-320 Żychlin</v>
      </c>
      <c r="H79">
        <v>782</v>
      </c>
      <c r="I79">
        <v>782</v>
      </c>
      <c r="J79">
        <v>0</v>
      </c>
      <c r="K79">
        <v>550</v>
      </c>
      <c r="L79">
        <v>466</v>
      </c>
      <c r="M79">
        <v>84</v>
      </c>
      <c r="N79">
        <v>84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84</v>
      </c>
      <c r="Z79">
        <v>0</v>
      </c>
      <c r="AA79">
        <v>0</v>
      </c>
      <c r="AB79">
        <v>84</v>
      </c>
      <c r="AC79">
        <v>3</v>
      </c>
      <c r="AD79">
        <v>81</v>
      </c>
      <c r="AE79">
        <v>1</v>
      </c>
      <c r="AF79">
        <v>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1</v>
      </c>
      <c r="AQ79">
        <v>1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1</v>
      </c>
      <c r="BC79">
        <v>13</v>
      </c>
      <c r="BD79">
        <v>9</v>
      </c>
      <c r="BE79">
        <v>1</v>
      </c>
      <c r="BF79">
        <v>1</v>
      </c>
      <c r="BG79">
        <v>1</v>
      </c>
      <c r="BH79">
        <v>0</v>
      </c>
      <c r="BI79">
        <v>0</v>
      </c>
      <c r="BJ79">
        <v>0</v>
      </c>
      <c r="BK79">
        <v>0</v>
      </c>
      <c r="BL79">
        <v>1</v>
      </c>
      <c r="BM79">
        <v>0</v>
      </c>
      <c r="BN79">
        <v>13</v>
      </c>
      <c r="BO79">
        <v>32</v>
      </c>
      <c r="BP79">
        <v>30</v>
      </c>
      <c r="BQ79">
        <v>0</v>
      </c>
      <c r="BR79">
        <v>0</v>
      </c>
      <c r="BS79">
        <v>1</v>
      </c>
      <c r="BT79">
        <v>0</v>
      </c>
      <c r="BU79">
        <v>0</v>
      </c>
      <c r="BV79">
        <v>1</v>
      </c>
      <c r="BW79">
        <v>0</v>
      </c>
      <c r="BX79">
        <v>0</v>
      </c>
      <c r="BY79">
        <v>0</v>
      </c>
      <c r="BZ79">
        <v>32</v>
      </c>
      <c r="CA79">
        <v>1</v>
      </c>
      <c r="CB79">
        <v>1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1</v>
      </c>
      <c r="CM79">
        <v>3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3</v>
      </c>
      <c r="CT79">
        <v>0</v>
      </c>
      <c r="CU79">
        <v>0</v>
      </c>
      <c r="CV79">
        <v>0</v>
      </c>
      <c r="CW79">
        <v>0</v>
      </c>
      <c r="CX79">
        <v>3</v>
      </c>
      <c r="CY79">
        <v>2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1</v>
      </c>
      <c r="DF79">
        <v>0</v>
      </c>
      <c r="DG79">
        <v>0</v>
      </c>
      <c r="DH79">
        <v>1</v>
      </c>
      <c r="DI79">
        <v>0</v>
      </c>
      <c r="DJ79">
        <v>2</v>
      </c>
      <c r="DK79">
        <v>24</v>
      </c>
      <c r="DL79">
        <v>13</v>
      </c>
      <c r="DM79">
        <v>10</v>
      </c>
      <c r="DN79">
        <v>0</v>
      </c>
      <c r="DO79">
        <v>0</v>
      </c>
      <c r="DP79">
        <v>0</v>
      </c>
      <c r="DQ79">
        <v>0</v>
      </c>
      <c r="DR79">
        <v>1</v>
      </c>
      <c r="DS79">
        <v>0</v>
      </c>
      <c r="DT79">
        <v>0</v>
      </c>
      <c r="DU79">
        <v>0</v>
      </c>
      <c r="DV79">
        <v>24</v>
      </c>
      <c r="DW79">
        <v>3</v>
      </c>
      <c r="DX79">
        <v>1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2</v>
      </c>
      <c r="EF79">
        <v>0</v>
      </c>
      <c r="EG79">
        <v>0</v>
      </c>
      <c r="EH79">
        <v>3</v>
      </c>
      <c r="EI79">
        <v>1</v>
      </c>
      <c r="EJ79">
        <v>1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1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</row>
    <row r="80" spans="1:172" ht="14.25">
      <c r="A80">
        <v>75</v>
      </c>
      <c r="B80" t="str">
        <f t="shared" si="13"/>
        <v>100211</v>
      </c>
      <c r="C80" t="str">
        <f t="shared" si="14"/>
        <v>Żychlin</v>
      </c>
      <c r="D80" t="str">
        <f t="shared" si="11"/>
        <v>kutnowski</v>
      </c>
      <c r="E80" t="str">
        <f t="shared" si="12"/>
        <v>łódzkie</v>
      </c>
      <c r="F80">
        <v>8</v>
      </c>
      <c r="G80" t="str">
        <f>"Zespół Szkolno-Przedszkolny (stołówka), ul. Żeromskiego 8, 99-320 Żychlin"</f>
        <v>Zespół Szkolno-Przedszkolny (stołówka), ul. Żeromskiego 8, 99-320 Żychlin</v>
      </c>
      <c r="H80">
        <v>1467</v>
      </c>
      <c r="I80">
        <v>1467</v>
      </c>
      <c r="J80">
        <v>0</v>
      </c>
      <c r="K80">
        <v>1029</v>
      </c>
      <c r="L80">
        <v>773</v>
      </c>
      <c r="M80">
        <v>256</v>
      </c>
      <c r="N80">
        <v>256</v>
      </c>
      <c r="O80">
        <v>0</v>
      </c>
      <c r="P80">
        <v>1</v>
      </c>
      <c r="Q80">
        <v>1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256</v>
      </c>
      <c r="Z80">
        <v>0</v>
      </c>
      <c r="AA80">
        <v>0</v>
      </c>
      <c r="AB80">
        <v>256</v>
      </c>
      <c r="AC80">
        <v>14</v>
      </c>
      <c r="AD80">
        <v>242</v>
      </c>
      <c r="AE80">
        <v>10</v>
      </c>
      <c r="AF80">
        <v>6</v>
      </c>
      <c r="AG80">
        <v>3</v>
      </c>
      <c r="AH80">
        <v>0</v>
      </c>
      <c r="AI80">
        <v>0</v>
      </c>
      <c r="AJ80">
        <v>0</v>
      </c>
      <c r="AK80">
        <v>0</v>
      </c>
      <c r="AL80">
        <v>1</v>
      </c>
      <c r="AM80">
        <v>0</v>
      </c>
      <c r="AN80">
        <v>0</v>
      </c>
      <c r="AO80">
        <v>0</v>
      </c>
      <c r="AP80">
        <v>10</v>
      </c>
      <c r="AQ80">
        <v>1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1</v>
      </c>
      <c r="BB80">
        <v>1</v>
      </c>
      <c r="BC80">
        <v>46</v>
      </c>
      <c r="BD80">
        <v>26</v>
      </c>
      <c r="BE80">
        <v>4</v>
      </c>
      <c r="BF80">
        <v>2</v>
      </c>
      <c r="BG80">
        <v>0</v>
      </c>
      <c r="BH80">
        <v>3</v>
      </c>
      <c r="BI80">
        <v>3</v>
      </c>
      <c r="BJ80">
        <v>0</v>
      </c>
      <c r="BK80">
        <v>0</v>
      </c>
      <c r="BL80">
        <v>7</v>
      </c>
      <c r="BM80">
        <v>1</v>
      </c>
      <c r="BN80">
        <v>46</v>
      </c>
      <c r="BO80">
        <v>80</v>
      </c>
      <c r="BP80">
        <v>72</v>
      </c>
      <c r="BQ80">
        <v>1</v>
      </c>
      <c r="BR80">
        <v>0</v>
      </c>
      <c r="BS80">
        <v>0</v>
      </c>
      <c r="BT80">
        <v>3</v>
      </c>
      <c r="BU80">
        <v>0</v>
      </c>
      <c r="BV80">
        <v>1</v>
      </c>
      <c r="BW80">
        <v>0</v>
      </c>
      <c r="BX80">
        <v>2</v>
      </c>
      <c r="BY80">
        <v>1</v>
      </c>
      <c r="BZ80">
        <v>80</v>
      </c>
      <c r="CA80">
        <v>2</v>
      </c>
      <c r="CB80">
        <v>2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2</v>
      </c>
      <c r="CM80">
        <v>1</v>
      </c>
      <c r="CN80">
        <v>0</v>
      </c>
      <c r="CO80">
        <v>0</v>
      </c>
      <c r="CP80">
        <v>0</v>
      </c>
      <c r="CQ80">
        <v>1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1</v>
      </c>
      <c r="CY80">
        <v>17</v>
      </c>
      <c r="CZ80">
        <v>9</v>
      </c>
      <c r="DA80">
        <v>2</v>
      </c>
      <c r="DB80">
        <v>2</v>
      </c>
      <c r="DC80">
        <v>1</v>
      </c>
      <c r="DD80">
        <v>0</v>
      </c>
      <c r="DE80">
        <v>0</v>
      </c>
      <c r="DF80">
        <v>0</v>
      </c>
      <c r="DG80">
        <v>1</v>
      </c>
      <c r="DH80">
        <v>1</v>
      </c>
      <c r="DI80">
        <v>1</v>
      </c>
      <c r="DJ80">
        <v>17</v>
      </c>
      <c r="DK80">
        <v>71</v>
      </c>
      <c r="DL80">
        <v>42</v>
      </c>
      <c r="DM80">
        <v>9</v>
      </c>
      <c r="DN80">
        <v>3</v>
      </c>
      <c r="DO80">
        <v>2</v>
      </c>
      <c r="DP80">
        <v>1</v>
      </c>
      <c r="DQ80">
        <v>3</v>
      </c>
      <c r="DR80">
        <v>3</v>
      </c>
      <c r="DS80">
        <v>4</v>
      </c>
      <c r="DT80">
        <v>4</v>
      </c>
      <c r="DU80">
        <v>0</v>
      </c>
      <c r="DV80">
        <v>71</v>
      </c>
      <c r="DW80">
        <v>14</v>
      </c>
      <c r="DX80">
        <v>5</v>
      </c>
      <c r="DY80">
        <v>0</v>
      </c>
      <c r="DZ80">
        <v>1</v>
      </c>
      <c r="EA80">
        <v>6</v>
      </c>
      <c r="EB80">
        <v>0</v>
      </c>
      <c r="EC80">
        <v>0</v>
      </c>
      <c r="ED80">
        <v>1</v>
      </c>
      <c r="EE80">
        <v>1</v>
      </c>
      <c r="EF80">
        <v>0</v>
      </c>
      <c r="EG80">
        <v>0</v>
      </c>
      <c r="EH80">
        <v>14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</row>
    <row r="81" spans="1:172" ht="14.25">
      <c r="A81">
        <v>76</v>
      </c>
      <c r="B81" t="str">
        <f t="shared" si="13"/>
        <v>100211</v>
      </c>
      <c r="C81" t="str">
        <f t="shared" si="14"/>
        <v>Żychlin</v>
      </c>
      <c r="D81" t="str">
        <f t="shared" si="11"/>
        <v>kutnowski</v>
      </c>
      <c r="E81" t="str">
        <f t="shared" si="12"/>
        <v>łódzkie</v>
      </c>
      <c r="F81">
        <v>9</v>
      </c>
      <c r="G81" t="str">
        <f>"Zespół Szkolno-Przedszkolny (sala gimnastyczna), ul. Żeromskiego 8, 99-320 Żychlin"</f>
        <v>Zespół Szkolno-Przedszkolny (sala gimnastyczna), ul. Żeromskiego 8, 99-320 Żychlin</v>
      </c>
      <c r="H81">
        <v>1206</v>
      </c>
      <c r="I81">
        <v>1206</v>
      </c>
      <c r="J81">
        <v>0</v>
      </c>
      <c r="K81">
        <v>850</v>
      </c>
      <c r="L81">
        <v>650</v>
      </c>
      <c r="M81">
        <v>200</v>
      </c>
      <c r="N81">
        <v>200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200</v>
      </c>
      <c r="Z81">
        <v>0</v>
      </c>
      <c r="AA81">
        <v>0</v>
      </c>
      <c r="AB81">
        <v>200</v>
      </c>
      <c r="AC81">
        <v>13</v>
      </c>
      <c r="AD81">
        <v>187</v>
      </c>
      <c r="AE81">
        <v>6</v>
      </c>
      <c r="AF81">
        <v>5</v>
      </c>
      <c r="AG81">
        <v>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6</v>
      </c>
      <c r="AQ81">
        <v>2</v>
      </c>
      <c r="AR81">
        <v>2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2</v>
      </c>
      <c r="BC81">
        <v>13</v>
      </c>
      <c r="BD81">
        <v>4</v>
      </c>
      <c r="BE81">
        <v>1</v>
      </c>
      <c r="BF81">
        <v>0</v>
      </c>
      <c r="BG81">
        <v>3</v>
      </c>
      <c r="BH81">
        <v>1</v>
      </c>
      <c r="BI81">
        <v>0</v>
      </c>
      <c r="BJ81">
        <v>0</v>
      </c>
      <c r="BK81">
        <v>0</v>
      </c>
      <c r="BL81">
        <v>3</v>
      </c>
      <c r="BM81">
        <v>1</v>
      </c>
      <c r="BN81">
        <v>13</v>
      </c>
      <c r="BO81">
        <v>79</v>
      </c>
      <c r="BP81">
        <v>66</v>
      </c>
      <c r="BQ81">
        <v>0</v>
      </c>
      <c r="BR81">
        <v>3</v>
      </c>
      <c r="BS81">
        <v>4</v>
      </c>
      <c r="BT81">
        <v>0</v>
      </c>
      <c r="BU81">
        <v>2</v>
      </c>
      <c r="BV81">
        <v>2</v>
      </c>
      <c r="BW81">
        <v>0</v>
      </c>
      <c r="BX81">
        <v>0</v>
      </c>
      <c r="BY81">
        <v>2</v>
      </c>
      <c r="BZ81">
        <v>79</v>
      </c>
      <c r="CA81">
        <v>7</v>
      </c>
      <c r="CB81">
        <v>2</v>
      </c>
      <c r="CC81">
        <v>0</v>
      </c>
      <c r="CD81">
        <v>1</v>
      </c>
      <c r="CE81">
        <v>0</v>
      </c>
      <c r="CF81">
        <v>0</v>
      </c>
      <c r="CG81">
        <v>1</v>
      </c>
      <c r="CH81">
        <v>1</v>
      </c>
      <c r="CI81">
        <v>0</v>
      </c>
      <c r="CJ81">
        <v>0</v>
      </c>
      <c r="CK81">
        <v>2</v>
      </c>
      <c r="CL81">
        <v>7</v>
      </c>
      <c r="CM81">
        <v>8</v>
      </c>
      <c r="CN81">
        <v>5</v>
      </c>
      <c r="CO81">
        <v>0</v>
      </c>
      <c r="CP81">
        <v>0</v>
      </c>
      <c r="CQ81">
        <v>1</v>
      </c>
      <c r="CR81">
        <v>0</v>
      </c>
      <c r="CS81">
        <v>1</v>
      </c>
      <c r="CT81">
        <v>1</v>
      </c>
      <c r="CU81">
        <v>0</v>
      </c>
      <c r="CV81">
        <v>0</v>
      </c>
      <c r="CW81">
        <v>0</v>
      </c>
      <c r="CX81">
        <v>8</v>
      </c>
      <c r="CY81">
        <v>9</v>
      </c>
      <c r="CZ81">
        <v>6</v>
      </c>
      <c r="DA81">
        <v>2</v>
      </c>
      <c r="DB81">
        <v>0</v>
      </c>
      <c r="DC81">
        <v>0</v>
      </c>
      <c r="DD81">
        <v>1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9</v>
      </c>
      <c r="DK81">
        <v>32</v>
      </c>
      <c r="DL81">
        <v>21</v>
      </c>
      <c r="DM81">
        <v>7</v>
      </c>
      <c r="DN81">
        <v>0</v>
      </c>
      <c r="DO81">
        <v>2</v>
      </c>
      <c r="DP81">
        <v>0</v>
      </c>
      <c r="DQ81">
        <v>1</v>
      </c>
      <c r="DR81">
        <v>0</v>
      </c>
      <c r="DS81">
        <v>0</v>
      </c>
      <c r="DT81">
        <v>0</v>
      </c>
      <c r="DU81">
        <v>1</v>
      </c>
      <c r="DV81">
        <v>32</v>
      </c>
      <c r="DW81">
        <v>23</v>
      </c>
      <c r="DX81">
        <v>10</v>
      </c>
      <c r="DY81">
        <v>3</v>
      </c>
      <c r="DZ81">
        <v>0</v>
      </c>
      <c r="EA81">
        <v>6</v>
      </c>
      <c r="EB81">
        <v>1</v>
      </c>
      <c r="EC81">
        <v>0</v>
      </c>
      <c r="ED81">
        <v>0</v>
      </c>
      <c r="EE81">
        <v>1</v>
      </c>
      <c r="EF81">
        <v>0</v>
      </c>
      <c r="EG81">
        <v>2</v>
      </c>
      <c r="EH81">
        <v>23</v>
      </c>
      <c r="EI81">
        <v>2</v>
      </c>
      <c r="EJ81">
        <v>1</v>
      </c>
      <c r="EK81">
        <v>0</v>
      </c>
      <c r="EL81">
        <v>0</v>
      </c>
      <c r="EM81">
        <v>0</v>
      </c>
      <c r="EN81">
        <v>0</v>
      </c>
      <c r="EO81">
        <v>1</v>
      </c>
      <c r="EP81">
        <v>0</v>
      </c>
      <c r="EQ81">
        <v>0</v>
      </c>
      <c r="ER81">
        <v>2</v>
      </c>
      <c r="ES81">
        <v>3</v>
      </c>
      <c r="ET81">
        <v>0</v>
      </c>
      <c r="EU81">
        <v>3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3</v>
      </c>
      <c r="FE81">
        <v>3</v>
      </c>
      <c r="FF81">
        <v>1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1</v>
      </c>
      <c r="FO81">
        <v>1</v>
      </c>
      <c r="FP81">
        <v>3</v>
      </c>
    </row>
    <row r="82" spans="1:172" ht="14.25">
      <c r="A82">
        <v>77</v>
      </c>
      <c r="B82" t="str">
        <f aca="true" t="shared" si="15" ref="B82:B93">"100401"</f>
        <v>100401</v>
      </c>
      <c r="C82" t="str">
        <f aca="true" t="shared" si="16" ref="C82:C93">"m. Łęczyca"</f>
        <v>m. Łęczyca</v>
      </c>
      <c r="D82" t="str">
        <f aca="true" t="shared" si="17" ref="D82:D113">"Łęczycki"</f>
        <v>Łęczycki</v>
      </c>
      <c r="E82" t="str">
        <f t="shared" si="12"/>
        <v>łódzkie</v>
      </c>
      <c r="F82">
        <v>1</v>
      </c>
      <c r="G82" t="str">
        <f>"Przedsiębiorstwo Gospodarki Komunalnej i Mieszkaniowej Sp. z o.o., ul. Tumska 2, 99-100 Łęczyca"</f>
        <v>Przedsiębiorstwo Gospodarki Komunalnej i Mieszkaniowej Sp. z o.o., ul. Tumska 2, 99-100 Łęczyca</v>
      </c>
      <c r="H82">
        <v>691</v>
      </c>
      <c r="I82">
        <v>691</v>
      </c>
      <c r="J82">
        <v>0</v>
      </c>
      <c r="K82">
        <v>490</v>
      </c>
      <c r="L82">
        <v>306</v>
      </c>
      <c r="M82">
        <v>184</v>
      </c>
      <c r="N82">
        <v>184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183</v>
      </c>
      <c r="Z82">
        <v>0</v>
      </c>
      <c r="AA82">
        <v>0</v>
      </c>
      <c r="AB82">
        <v>183</v>
      </c>
      <c r="AC82">
        <v>3</v>
      </c>
      <c r="AD82">
        <v>180</v>
      </c>
      <c r="AE82">
        <v>11</v>
      </c>
      <c r="AF82">
        <v>9</v>
      </c>
      <c r="AG82">
        <v>0</v>
      </c>
      <c r="AH82">
        <v>2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11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19</v>
      </c>
      <c r="BD82">
        <v>11</v>
      </c>
      <c r="BE82">
        <v>0</v>
      </c>
      <c r="BF82">
        <v>2</v>
      </c>
      <c r="BG82">
        <v>3</v>
      </c>
      <c r="BH82">
        <v>0</v>
      </c>
      <c r="BI82">
        <v>0</v>
      </c>
      <c r="BJ82">
        <v>0</v>
      </c>
      <c r="BK82">
        <v>1</v>
      </c>
      <c r="BL82">
        <v>1</v>
      </c>
      <c r="BM82">
        <v>1</v>
      </c>
      <c r="BN82">
        <v>19</v>
      </c>
      <c r="BO82">
        <v>47</v>
      </c>
      <c r="BP82">
        <v>39</v>
      </c>
      <c r="BQ82">
        <v>1</v>
      </c>
      <c r="BR82">
        <v>2</v>
      </c>
      <c r="BS82">
        <v>2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3</v>
      </c>
      <c r="BZ82">
        <v>47</v>
      </c>
      <c r="CA82">
        <v>19</v>
      </c>
      <c r="CB82">
        <v>0</v>
      </c>
      <c r="CC82">
        <v>1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18</v>
      </c>
      <c r="CL82">
        <v>19</v>
      </c>
      <c r="CM82">
        <v>6</v>
      </c>
      <c r="CN82">
        <v>3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3</v>
      </c>
      <c r="CW82">
        <v>0</v>
      </c>
      <c r="CX82">
        <v>6</v>
      </c>
      <c r="CY82">
        <v>8</v>
      </c>
      <c r="CZ82">
        <v>4</v>
      </c>
      <c r="DA82">
        <v>0</v>
      </c>
      <c r="DB82">
        <v>1</v>
      </c>
      <c r="DC82">
        <v>0</v>
      </c>
      <c r="DD82">
        <v>1</v>
      </c>
      <c r="DE82">
        <v>0</v>
      </c>
      <c r="DF82">
        <v>0</v>
      </c>
      <c r="DG82">
        <v>2</v>
      </c>
      <c r="DH82">
        <v>0</v>
      </c>
      <c r="DI82">
        <v>0</v>
      </c>
      <c r="DJ82">
        <v>8</v>
      </c>
      <c r="DK82">
        <v>63</v>
      </c>
      <c r="DL82">
        <v>47</v>
      </c>
      <c r="DM82">
        <v>9</v>
      </c>
      <c r="DN82">
        <v>0</v>
      </c>
      <c r="DO82">
        <v>1</v>
      </c>
      <c r="DP82">
        <v>1</v>
      </c>
      <c r="DQ82">
        <v>0</v>
      </c>
      <c r="DR82">
        <v>2</v>
      </c>
      <c r="DS82">
        <v>2</v>
      </c>
      <c r="DT82">
        <v>1</v>
      </c>
      <c r="DU82">
        <v>0</v>
      </c>
      <c r="DV82">
        <v>63</v>
      </c>
      <c r="DW82">
        <v>6</v>
      </c>
      <c r="DX82">
        <v>0</v>
      </c>
      <c r="DY82">
        <v>3</v>
      </c>
      <c r="DZ82">
        <v>0</v>
      </c>
      <c r="EA82">
        <v>2</v>
      </c>
      <c r="EB82">
        <v>0</v>
      </c>
      <c r="EC82">
        <v>0</v>
      </c>
      <c r="ED82">
        <v>0</v>
      </c>
      <c r="EE82">
        <v>0</v>
      </c>
      <c r="EF82">
        <v>1</v>
      </c>
      <c r="EG82">
        <v>0</v>
      </c>
      <c r="EH82">
        <v>6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1</v>
      </c>
      <c r="ET82">
        <v>1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1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</row>
    <row r="83" spans="1:172" ht="14.25">
      <c r="A83">
        <v>78</v>
      </c>
      <c r="B83" t="str">
        <f t="shared" si="15"/>
        <v>100401</v>
      </c>
      <c r="C83" t="str">
        <f t="shared" si="16"/>
        <v>m. Łęczyca</v>
      </c>
      <c r="D83" t="str">
        <f t="shared" si="17"/>
        <v>Łęczycki</v>
      </c>
      <c r="E83" t="str">
        <f t="shared" si="12"/>
        <v>łódzkie</v>
      </c>
      <c r="F83">
        <v>2</v>
      </c>
      <c r="G83" t="str">
        <f>"Szkoła Podstawowa Nr 4, ul. Ozorkowskie Przedmieście 6C, 99-100 Łęczyca"</f>
        <v>Szkoła Podstawowa Nr 4, ul. Ozorkowskie Przedmieście 6C, 99-100 Łęczyca</v>
      </c>
      <c r="H83">
        <v>1554</v>
      </c>
      <c r="I83">
        <v>1554</v>
      </c>
      <c r="J83">
        <v>0</v>
      </c>
      <c r="K83">
        <v>1089</v>
      </c>
      <c r="L83">
        <v>704</v>
      </c>
      <c r="M83">
        <v>385</v>
      </c>
      <c r="N83">
        <v>385</v>
      </c>
      <c r="O83">
        <v>0</v>
      </c>
      <c r="P83">
        <v>1</v>
      </c>
      <c r="Q83">
        <v>2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385</v>
      </c>
      <c r="Z83">
        <v>0</v>
      </c>
      <c r="AA83">
        <v>0</v>
      </c>
      <c r="AB83">
        <v>385</v>
      </c>
      <c r="AC83">
        <v>19</v>
      </c>
      <c r="AD83">
        <v>366</v>
      </c>
      <c r="AE83">
        <v>8</v>
      </c>
      <c r="AF83">
        <v>3</v>
      </c>
      <c r="AG83">
        <v>3</v>
      </c>
      <c r="AH83">
        <v>0</v>
      </c>
      <c r="AI83">
        <v>1</v>
      </c>
      <c r="AJ83">
        <v>0</v>
      </c>
      <c r="AK83">
        <v>1</v>
      </c>
      <c r="AL83">
        <v>0</v>
      </c>
      <c r="AM83">
        <v>0</v>
      </c>
      <c r="AN83">
        <v>0</v>
      </c>
      <c r="AO83">
        <v>0</v>
      </c>
      <c r="AP83">
        <v>8</v>
      </c>
      <c r="AQ83">
        <v>4</v>
      </c>
      <c r="AR83">
        <v>0</v>
      </c>
      <c r="AS83">
        <v>0</v>
      </c>
      <c r="AT83">
        <v>0</v>
      </c>
      <c r="AU83">
        <v>1</v>
      </c>
      <c r="AV83">
        <v>0</v>
      </c>
      <c r="AW83">
        <v>0</v>
      </c>
      <c r="AX83">
        <v>0</v>
      </c>
      <c r="AY83">
        <v>0</v>
      </c>
      <c r="AZ83">
        <v>1</v>
      </c>
      <c r="BA83">
        <v>2</v>
      </c>
      <c r="BB83">
        <v>4</v>
      </c>
      <c r="BC83">
        <v>39</v>
      </c>
      <c r="BD83">
        <v>15</v>
      </c>
      <c r="BE83">
        <v>11</v>
      </c>
      <c r="BF83">
        <v>0</v>
      </c>
      <c r="BG83">
        <v>0</v>
      </c>
      <c r="BH83">
        <v>0</v>
      </c>
      <c r="BI83">
        <v>2</v>
      </c>
      <c r="BJ83">
        <v>0</v>
      </c>
      <c r="BK83">
        <v>4</v>
      </c>
      <c r="BL83">
        <v>7</v>
      </c>
      <c r="BM83">
        <v>0</v>
      </c>
      <c r="BN83">
        <v>39</v>
      </c>
      <c r="BO83">
        <v>90</v>
      </c>
      <c r="BP83">
        <v>71</v>
      </c>
      <c r="BQ83">
        <v>6</v>
      </c>
      <c r="BR83">
        <v>4</v>
      </c>
      <c r="BS83">
        <v>2</v>
      </c>
      <c r="BT83">
        <v>0</v>
      </c>
      <c r="BU83">
        <v>2</v>
      </c>
      <c r="BV83">
        <v>1</v>
      </c>
      <c r="BW83">
        <v>1</v>
      </c>
      <c r="BX83">
        <v>1</v>
      </c>
      <c r="BY83">
        <v>2</v>
      </c>
      <c r="BZ83">
        <v>90</v>
      </c>
      <c r="CA83">
        <v>40</v>
      </c>
      <c r="CB83">
        <v>1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39</v>
      </c>
      <c r="CL83">
        <v>40</v>
      </c>
      <c r="CM83">
        <v>2</v>
      </c>
      <c r="CN83">
        <v>2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2</v>
      </c>
      <c r="CY83">
        <v>28</v>
      </c>
      <c r="CZ83">
        <v>20</v>
      </c>
      <c r="DA83">
        <v>2</v>
      </c>
      <c r="DB83">
        <v>0</v>
      </c>
      <c r="DC83">
        <v>1</v>
      </c>
      <c r="DD83">
        <v>2</v>
      </c>
      <c r="DE83">
        <v>0</v>
      </c>
      <c r="DF83">
        <v>1</v>
      </c>
      <c r="DG83">
        <v>0</v>
      </c>
      <c r="DH83">
        <v>2</v>
      </c>
      <c r="DI83">
        <v>0</v>
      </c>
      <c r="DJ83">
        <v>28</v>
      </c>
      <c r="DK83">
        <v>139</v>
      </c>
      <c r="DL83">
        <v>97</v>
      </c>
      <c r="DM83">
        <v>25</v>
      </c>
      <c r="DN83">
        <v>1</v>
      </c>
      <c r="DO83">
        <v>0</v>
      </c>
      <c r="DP83">
        <v>1</v>
      </c>
      <c r="DQ83">
        <v>2</v>
      </c>
      <c r="DR83">
        <v>0</v>
      </c>
      <c r="DS83">
        <v>3</v>
      </c>
      <c r="DT83">
        <v>0</v>
      </c>
      <c r="DU83">
        <v>10</v>
      </c>
      <c r="DV83">
        <v>139</v>
      </c>
      <c r="DW83">
        <v>8</v>
      </c>
      <c r="DX83">
        <v>0</v>
      </c>
      <c r="DY83">
        <v>4</v>
      </c>
      <c r="DZ83">
        <v>0</v>
      </c>
      <c r="EA83">
        <v>0</v>
      </c>
      <c r="EB83">
        <v>0</v>
      </c>
      <c r="EC83">
        <v>0</v>
      </c>
      <c r="ED83">
        <v>1</v>
      </c>
      <c r="EE83">
        <v>1</v>
      </c>
      <c r="EF83">
        <v>2</v>
      </c>
      <c r="EG83">
        <v>0</v>
      </c>
      <c r="EH83">
        <v>8</v>
      </c>
      <c r="EI83">
        <v>4</v>
      </c>
      <c r="EJ83">
        <v>1</v>
      </c>
      <c r="EK83">
        <v>2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1</v>
      </c>
      <c r="ER83">
        <v>4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4</v>
      </c>
      <c r="FF83">
        <v>0</v>
      </c>
      <c r="FG83">
        <v>2</v>
      </c>
      <c r="FH83">
        <v>0</v>
      </c>
      <c r="FI83">
        <v>0</v>
      </c>
      <c r="FJ83">
        <v>0</v>
      </c>
      <c r="FK83">
        <v>1</v>
      </c>
      <c r="FL83">
        <v>0</v>
      </c>
      <c r="FM83">
        <v>0</v>
      </c>
      <c r="FN83">
        <v>0</v>
      </c>
      <c r="FO83">
        <v>1</v>
      </c>
      <c r="FP83">
        <v>4</v>
      </c>
    </row>
    <row r="84" spans="1:172" ht="14.25">
      <c r="A84">
        <v>79</v>
      </c>
      <c r="B84" t="str">
        <f t="shared" si="15"/>
        <v>100401</v>
      </c>
      <c r="C84" t="str">
        <f t="shared" si="16"/>
        <v>m. Łęczyca</v>
      </c>
      <c r="D84" t="str">
        <f t="shared" si="17"/>
        <v>Łęczycki</v>
      </c>
      <c r="E84" t="str">
        <f t="shared" si="12"/>
        <v>łódzkie</v>
      </c>
      <c r="F84">
        <v>3</v>
      </c>
      <c r="G84" t="str">
        <f>"Urząd Miejski, ul. Konopnickiej 14, 99-100 Łęczyca"</f>
        <v>Urząd Miejski, ul. Konopnickiej 14, 99-100 Łęczyca</v>
      </c>
      <c r="H84">
        <v>1586</v>
      </c>
      <c r="I84">
        <v>1586</v>
      </c>
      <c r="J84">
        <v>0</v>
      </c>
      <c r="K84">
        <v>1120</v>
      </c>
      <c r="L84">
        <v>855</v>
      </c>
      <c r="M84">
        <v>265</v>
      </c>
      <c r="N84">
        <v>265</v>
      </c>
      <c r="O84">
        <v>0</v>
      </c>
      <c r="P84">
        <v>0</v>
      </c>
      <c r="Q84">
        <v>3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265</v>
      </c>
      <c r="Z84">
        <v>0</v>
      </c>
      <c r="AA84">
        <v>0</v>
      </c>
      <c r="AB84">
        <v>265</v>
      </c>
      <c r="AC84">
        <v>8</v>
      </c>
      <c r="AD84">
        <v>257</v>
      </c>
      <c r="AE84">
        <v>6</v>
      </c>
      <c r="AF84">
        <v>2</v>
      </c>
      <c r="AG84">
        <v>0</v>
      </c>
      <c r="AH84">
        <v>1</v>
      </c>
      <c r="AI84">
        <v>0</v>
      </c>
      <c r="AJ84">
        <v>1</v>
      </c>
      <c r="AK84">
        <v>0</v>
      </c>
      <c r="AL84">
        <v>1</v>
      </c>
      <c r="AM84">
        <v>0</v>
      </c>
      <c r="AN84">
        <v>1</v>
      </c>
      <c r="AO84">
        <v>0</v>
      </c>
      <c r="AP84">
        <v>6</v>
      </c>
      <c r="AQ84">
        <v>1</v>
      </c>
      <c r="AR84">
        <v>1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</v>
      </c>
      <c r="BC84">
        <v>36</v>
      </c>
      <c r="BD84">
        <v>14</v>
      </c>
      <c r="BE84">
        <v>11</v>
      </c>
      <c r="BF84">
        <v>1</v>
      </c>
      <c r="BG84">
        <v>0</v>
      </c>
      <c r="BH84">
        <v>0</v>
      </c>
      <c r="BI84">
        <v>0</v>
      </c>
      <c r="BJ84">
        <v>1</v>
      </c>
      <c r="BK84">
        <v>2</v>
      </c>
      <c r="BL84">
        <v>4</v>
      </c>
      <c r="BM84">
        <v>3</v>
      </c>
      <c r="BN84">
        <v>36</v>
      </c>
      <c r="BO84">
        <v>82</v>
      </c>
      <c r="BP84">
        <v>61</v>
      </c>
      <c r="BQ84">
        <v>6</v>
      </c>
      <c r="BR84">
        <v>5</v>
      </c>
      <c r="BS84">
        <v>1</v>
      </c>
      <c r="BT84">
        <v>0</v>
      </c>
      <c r="BU84">
        <v>0</v>
      </c>
      <c r="BV84">
        <v>0</v>
      </c>
      <c r="BW84">
        <v>0</v>
      </c>
      <c r="BX84">
        <v>1</v>
      </c>
      <c r="BY84">
        <v>8</v>
      </c>
      <c r="BZ84">
        <v>82</v>
      </c>
      <c r="CA84">
        <v>27</v>
      </c>
      <c r="CB84">
        <v>3</v>
      </c>
      <c r="CC84">
        <v>2</v>
      </c>
      <c r="CD84">
        <v>0</v>
      </c>
      <c r="CE84">
        <v>0</v>
      </c>
      <c r="CF84">
        <v>1</v>
      </c>
      <c r="CG84">
        <v>0</v>
      </c>
      <c r="CH84">
        <v>0</v>
      </c>
      <c r="CI84">
        <v>2</v>
      </c>
      <c r="CJ84">
        <v>0</v>
      </c>
      <c r="CK84">
        <v>19</v>
      </c>
      <c r="CL84">
        <v>27</v>
      </c>
      <c r="CM84">
        <v>4</v>
      </c>
      <c r="CN84">
        <v>2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2</v>
      </c>
      <c r="CW84">
        <v>0</v>
      </c>
      <c r="CX84">
        <v>4</v>
      </c>
      <c r="CY84">
        <v>14</v>
      </c>
      <c r="CZ84">
        <v>10</v>
      </c>
      <c r="DA84">
        <v>1</v>
      </c>
      <c r="DB84">
        <v>1</v>
      </c>
      <c r="DC84">
        <v>1</v>
      </c>
      <c r="DD84">
        <v>0</v>
      </c>
      <c r="DE84">
        <v>0</v>
      </c>
      <c r="DF84">
        <v>0</v>
      </c>
      <c r="DG84">
        <v>1</v>
      </c>
      <c r="DH84">
        <v>0</v>
      </c>
      <c r="DI84">
        <v>0</v>
      </c>
      <c r="DJ84">
        <v>14</v>
      </c>
      <c r="DK84">
        <v>75</v>
      </c>
      <c r="DL84">
        <v>53</v>
      </c>
      <c r="DM84">
        <v>13</v>
      </c>
      <c r="DN84">
        <v>0</v>
      </c>
      <c r="DO84">
        <v>1</v>
      </c>
      <c r="DP84">
        <v>2</v>
      </c>
      <c r="DQ84">
        <v>0</v>
      </c>
      <c r="DR84">
        <v>0</v>
      </c>
      <c r="DS84">
        <v>0</v>
      </c>
      <c r="DT84">
        <v>0</v>
      </c>
      <c r="DU84">
        <v>6</v>
      </c>
      <c r="DV84">
        <v>75</v>
      </c>
      <c r="DW84">
        <v>8</v>
      </c>
      <c r="DX84">
        <v>2</v>
      </c>
      <c r="DY84">
        <v>2</v>
      </c>
      <c r="DZ84">
        <v>1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3</v>
      </c>
      <c r="EG84">
        <v>0</v>
      </c>
      <c r="EH84">
        <v>8</v>
      </c>
      <c r="EI84">
        <v>4</v>
      </c>
      <c r="EJ84">
        <v>0</v>
      </c>
      <c r="EK84">
        <v>2</v>
      </c>
      <c r="EL84">
        <v>1</v>
      </c>
      <c r="EM84">
        <v>1</v>
      </c>
      <c r="EN84">
        <v>0</v>
      </c>
      <c r="EO84">
        <v>0</v>
      </c>
      <c r="EP84">
        <v>0</v>
      </c>
      <c r="EQ84">
        <v>0</v>
      </c>
      <c r="ER84">
        <v>4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</row>
    <row r="85" spans="1:172" ht="14.25">
      <c r="A85">
        <v>80</v>
      </c>
      <c r="B85" t="str">
        <f t="shared" si="15"/>
        <v>100401</v>
      </c>
      <c r="C85" t="str">
        <f t="shared" si="16"/>
        <v>m. Łęczyca</v>
      </c>
      <c r="D85" t="str">
        <f t="shared" si="17"/>
        <v>Łęczycki</v>
      </c>
      <c r="E85" t="str">
        <f t="shared" si="12"/>
        <v>łódzkie</v>
      </c>
      <c r="F85">
        <v>4</v>
      </c>
      <c r="G85" t="s">
        <v>43</v>
      </c>
      <c r="H85">
        <v>767</v>
      </c>
      <c r="I85">
        <v>767</v>
      </c>
      <c r="J85">
        <v>0</v>
      </c>
      <c r="K85">
        <v>540</v>
      </c>
      <c r="L85">
        <v>374</v>
      </c>
      <c r="M85">
        <v>166</v>
      </c>
      <c r="N85">
        <v>166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166</v>
      </c>
      <c r="Z85">
        <v>0</v>
      </c>
      <c r="AA85">
        <v>0</v>
      </c>
      <c r="AB85">
        <v>166</v>
      </c>
      <c r="AC85">
        <v>3</v>
      </c>
      <c r="AD85">
        <v>163</v>
      </c>
      <c r="AE85">
        <v>7</v>
      </c>
      <c r="AF85">
        <v>4</v>
      </c>
      <c r="AG85">
        <v>0</v>
      </c>
      <c r="AH85">
        <v>1</v>
      </c>
      <c r="AI85">
        <v>0</v>
      </c>
      <c r="AJ85">
        <v>1</v>
      </c>
      <c r="AK85">
        <v>0</v>
      </c>
      <c r="AL85">
        <v>0</v>
      </c>
      <c r="AM85">
        <v>0</v>
      </c>
      <c r="AN85">
        <v>0</v>
      </c>
      <c r="AO85">
        <v>1</v>
      </c>
      <c r="AP85">
        <v>7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27</v>
      </c>
      <c r="BD85">
        <v>12</v>
      </c>
      <c r="BE85">
        <v>4</v>
      </c>
      <c r="BF85">
        <v>0</v>
      </c>
      <c r="BG85">
        <v>2</v>
      </c>
      <c r="BH85">
        <v>2</v>
      </c>
      <c r="BI85">
        <v>2</v>
      </c>
      <c r="BJ85">
        <v>1</v>
      </c>
      <c r="BK85">
        <v>3</v>
      </c>
      <c r="BL85">
        <v>1</v>
      </c>
      <c r="BM85">
        <v>0</v>
      </c>
      <c r="BN85">
        <v>27</v>
      </c>
      <c r="BO85">
        <v>57</v>
      </c>
      <c r="BP85">
        <v>50</v>
      </c>
      <c r="BQ85">
        <v>3</v>
      </c>
      <c r="BR85">
        <v>1</v>
      </c>
      <c r="BS85">
        <v>0</v>
      </c>
      <c r="BT85">
        <v>0</v>
      </c>
      <c r="BU85">
        <v>0</v>
      </c>
      <c r="BV85">
        <v>1</v>
      </c>
      <c r="BW85">
        <v>0</v>
      </c>
      <c r="BX85">
        <v>0</v>
      </c>
      <c r="BY85">
        <v>2</v>
      </c>
      <c r="BZ85">
        <v>57</v>
      </c>
      <c r="CA85">
        <v>8</v>
      </c>
      <c r="CB85">
        <v>1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7</v>
      </c>
      <c r="CL85">
        <v>8</v>
      </c>
      <c r="CM85">
        <v>2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</v>
      </c>
      <c r="CT85">
        <v>0</v>
      </c>
      <c r="CU85">
        <v>0</v>
      </c>
      <c r="CV85">
        <v>0</v>
      </c>
      <c r="CW85">
        <v>1</v>
      </c>
      <c r="CX85">
        <v>2</v>
      </c>
      <c r="CY85">
        <v>4</v>
      </c>
      <c r="CZ85">
        <v>1</v>
      </c>
      <c r="DA85">
        <v>0</v>
      </c>
      <c r="DB85">
        <v>0</v>
      </c>
      <c r="DC85">
        <v>0</v>
      </c>
      <c r="DD85">
        <v>0</v>
      </c>
      <c r="DE85">
        <v>1</v>
      </c>
      <c r="DF85">
        <v>0</v>
      </c>
      <c r="DG85">
        <v>0</v>
      </c>
      <c r="DH85">
        <v>2</v>
      </c>
      <c r="DI85">
        <v>0</v>
      </c>
      <c r="DJ85">
        <v>4</v>
      </c>
      <c r="DK85">
        <v>50</v>
      </c>
      <c r="DL85">
        <v>36</v>
      </c>
      <c r="DM85">
        <v>8</v>
      </c>
      <c r="DN85">
        <v>0</v>
      </c>
      <c r="DO85">
        <v>1</v>
      </c>
      <c r="DP85">
        <v>0</v>
      </c>
      <c r="DQ85">
        <v>2</v>
      </c>
      <c r="DR85">
        <v>0</v>
      </c>
      <c r="DS85">
        <v>0</v>
      </c>
      <c r="DT85">
        <v>1</v>
      </c>
      <c r="DU85">
        <v>2</v>
      </c>
      <c r="DV85">
        <v>50</v>
      </c>
      <c r="DW85">
        <v>6</v>
      </c>
      <c r="DX85">
        <v>0</v>
      </c>
      <c r="DY85">
        <v>2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2</v>
      </c>
      <c r="EF85">
        <v>2</v>
      </c>
      <c r="EG85">
        <v>0</v>
      </c>
      <c r="EH85">
        <v>6</v>
      </c>
      <c r="EI85">
        <v>2</v>
      </c>
      <c r="EJ85">
        <v>0</v>
      </c>
      <c r="EK85">
        <v>2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2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</row>
    <row r="86" spans="1:172" ht="14.25">
      <c r="A86">
        <v>81</v>
      </c>
      <c r="B86" t="str">
        <f t="shared" si="15"/>
        <v>100401</v>
      </c>
      <c r="C86" t="str">
        <f t="shared" si="16"/>
        <v>m. Łęczyca</v>
      </c>
      <c r="D86" t="str">
        <f t="shared" si="17"/>
        <v>Łęczycki</v>
      </c>
      <c r="E86" t="str">
        <f t="shared" si="12"/>
        <v>łódzkie</v>
      </c>
      <c r="F86">
        <v>5</v>
      </c>
      <c r="G86" t="str">
        <f>"Przedszkole Nr 4, ul. Bitwy nad Bzurą 26A, 99-100 Łęczyca"</f>
        <v>Przedszkole Nr 4, ul. Bitwy nad Bzurą 26A, 99-100 Łęczyca</v>
      </c>
      <c r="H86">
        <v>1605</v>
      </c>
      <c r="I86">
        <v>1605</v>
      </c>
      <c r="J86">
        <v>0</v>
      </c>
      <c r="K86">
        <v>1130</v>
      </c>
      <c r="L86">
        <v>748</v>
      </c>
      <c r="M86">
        <v>382</v>
      </c>
      <c r="N86">
        <v>382</v>
      </c>
      <c r="O86">
        <v>0</v>
      </c>
      <c r="P86">
        <v>0</v>
      </c>
      <c r="Q86">
        <v>1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382</v>
      </c>
      <c r="Z86">
        <v>0</v>
      </c>
      <c r="AA86">
        <v>0</v>
      </c>
      <c r="AB86">
        <v>382</v>
      </c>
      <c r="AC86">
        <v>8</v>
      </c>
      <c r="AD86">
        <v>374</v>
      </c>
      <c r="AE86">
        <v>9</v>
      </c>
      <c r="AF86">
        <v>5</v>
      </c>
      <c r="AG86">
        <v>0</v>
      </c>
      <c r="AH86">
        <v>1</v>
      </c>
      <c r="AI86">
        <v>0</v>
      </c>
      <c r="AJ86">
        <v>2</v>
      </c>
      <c r="AK86">
        <v>0</v>
      </c>
      <c r="AL86">
        <v>0</v>
      </c>
      <c r="AM86">
        <v>1</v>
      </c>
      <c r="AN86">
        <v>0</v>
      </c>
      <c r="AO86">
        <v>0</v>
      </c>
      <c r="AP86">
        <v>9</v>
      </c>
      <c r="AQ86">
        <v>3</v>
      </c>
      <c r="AR86">
        <v>2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1</v>
      </c>
      <c r="BA86">
        <v>0</v>
      </c>
      <c r="BB86">
        <v>3</v>
      </c>
      <c r="BC86">
        <v>39</v>
      </c>
      <c r="BD86">
        <v>24</v>
      </c>
      <c r="BE86">
        <v>8</v>
      </c>
      <c r="BF86">
        <v>1</v>
      </c>
      <c r="BG86">
        <v>0</v>
      </c>
      <c r="BH86">
        <v>0</v>
      </c>
      <c r="BI86">
        <v>0</v>
      </c>
      <c r="BJ86">
        <v>0</v>
      </c>
      <c r="BK86">
        <v>1</v>
      </c>
      <c r="BL86">
        <v>0</v>
      </c>
      <c r="BM86">
        <v>5</v>
      </c>
      <c r="BN86">
        <v>39</v>
      </c>
      <c r="BO86">
        <v>132</v>
      </c>
      <c r="BP86">
        <v>112</v>
      </c>
      <c r="BQ86">
        <v>5</v>
      </c>
      <c r="BR86">
        <v>7</v>
      </c>
      <c r="BS86">
        <v>2</v>
      </c>
      <c r="BT86">
        <v>3</v>
      </c>
      <c r="BU86">
        <v>0</v>
      </c>
      <c r="BV86">
        <v>0</v>
      </c>
      <c r="BW86">
        <v>1</v>
      </c>
      <c r="BX86">
        <v>0</v>
      </c>
      <c r="BY86">
        <v>2</v>
      </c>
      <c r="BZ86">
        <v>132</v>
      </c>
      <c r="CA86">
        <v>22</v>
      </c>
      <c r="CB86">
        <v>0</v>
      </c>
      <c r="CC86">
        <v>3</v>
      </c>
      <c r="CD86">
        <v>0</v>
      </c>
      <c r="CE86">
        <v>1</v>
      </c>
      <c r="CF86">
        <v>0</v>
      </c>
      <c r="CG86">
        <v>1</v>
      </c>
      <c r="CH86">
        <v>0</v>
      </c>
      <c r="CI86">
        <v>0</v>
      </c>
      <c r="CJ86">
        <v>0</v>
      </c>
      <c r="CK86">
        <v>17</v>
      </c>
      <c r="CL86">
        <v>22</v>
      </c>
      <c r="CM86">
        <v>9</v>
      </c>
      <c r="CN86">
        <v>7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1</v>
      </c>
      <c r="CW86">
        <v>0</v>
      </c>
      <c r="CX86">
        <v>9</v>
      </c>
      <c r="CY86">
        <v>13</v>
      </c>
      <c r="CZ86">
        <v>6</v>
      </c>
      <c r="DA86">
        <v>3</v>
      </c>
      <c r="DB86">
        <v>1</v>
      </c>
      <c r="DC86">
        <v>0</v>
      </c>
      <c r="DD86">
        <v>3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13</v>
      </c>
      <c r="DK86">
        <v>132</v>
      </c>
      <c r="DL86">
        <v>97</v>
      </c>
      <c r="DM86">
        <v>26</v>
      </c>
      <c r="DN86">
        <v>0</v>
      </c>
      <c r="DO86">
        <v>0</v>
      </c>
      <c r="DP86">
        <v>2</v>
      </c>
      <c r="DQ86">
        <v>1</v>
      </c>
      <c r="DR86">
        <v>0</v>
      </c>
      <c r="DS86">
        <v>0</v>
      </c>
      <c r="DT86">
        <v>4</v>
      </c>
      <c r="DU86">
        <v>2</v>
      </c>
      <c r="DV86">
        <v>132</v>
      </c>
      <c r="DW86">
        <v>12</v>
      </c>
      <c r="DX86">
        <v>5</v>
      </c>
      <c r="DY86">
        <v>3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1</v>
      </c>
      <c r="EF86">
        <v>3</v>
      </c>
      <c r="EG86">
        <v>0</v>
      </c>
      <c r="EH86">
        <v>12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2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1</v>
      </c>
      <c r="EZ86">
        <v>0</v>
      </c>
      <c r="FA86">
        <v>0</v>
      </c>
      <c r="FB86">
        <v>1</v>
      </c>
      <c r="FC86">
        <v>0</v>
      </c>
      <c r="FD86">
        <v>2</v>
      </c>
      <c r="FE86">
        <v>1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1</v>
      </c>
      <c r="FL86">
        <v>0</v>
      </c>
      <c r="FM86">
        <v>0</v>
      </c>
      <c r="FN86">
        <v>0</v>
      </c>
      <c r="FO86">
        <v>0</v>
      </c>
      <c r="FP86">
        <v>1</v>
      </c>
    </row>
    <row r="87" spans="1:172" ht="14.25">
      <c r="A87">
        <v>82</v>
      </c>
      <c r="B87" t="str">
        <f t="shared" si="15"/>
        <v>100401</v>
      </c>
      <c r="C87" t="str">
        <f t="shared" si="16"/>
        <v>m. Łęczyca</v>
      </c>
      <c r="D87" t="str">
        <f t="shared" si="17"/>
        <v>Łęczycki</v>
      </c>
      <c r="E87" t="str">
        <f t="shared" si="12"/>
        <v>łódzkie</v>
      </c>
      <c r="F87">
        <v>6</v>
      </c>
      <c r="G87" t="str">
        <f>"Szkoła Podstawowa Nr 3, ul. Zachodnia 23, 99-100 Łęczyca"</f>
        <v>Szkoła Podstawowa Nr 3, ul. Zachodnia 23, 99-100 Łęczyca</v>
      </c>
      <c r="H87">
        <v>1618</v>
      </c>
      <c r="I87">
        <v>1618</v>
      </c>
      <c r="J87">
        <v>0</v>
      </c>
      <c r="K87">
        <v>1145</v>
      </c>
      <c r="L87">
        <v>735</v>
      </c>
      <c r="M87">
        <v>410</v>
      </c>
      <c r="N87">
        <v>410</v>
      </c>
      <c r="O87">
        <v>0</v>
      </c>
      <c r="P87">
        <v>1</v>
      </c>
      <c r="Q87">
        <v>2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409</v>
      </c>
      <c r="Z87">
        <v>0</v>
      </c>
      <c r="AA87">
        <v>0</v>
      </c>
      <c r="AB87">
        <v>409</v>
      </c>
      <c r="AC87">
        <v>10</v>
      </c>
      <c r="AD87">
        <v>399</v>
      </c>
      <c r="AE87">
        <v>6</v>
      </c>
      <c r="AF87">
        <v>3</v>
      </c>
      <c r="AG87">
        <v>0</v>
      </c>
      <c r="AH87">
        <v>0</v>
      </c>
      <c r="AI87">
        <v>1</v>
      </c>
      <c r="AJ87">
        <v>0</v>
      </c>
      <c r="AK87">
        <v>1</v>
      </c>
      <c r="AL87">
        <v>1</v>
      </c>
      <c r="AM87">
        <v>0</v>
      </c>
      <c r="AN87">
        <v>0</v>
      </c>
      <c r="AO87">
        <v>0</v>
      </c>
      <c r="AP87">
        <v>6</v>
      </c>
      <c r="AQ87">
        <v>2</v>
      </c>
      <c r="AR87">
        <v>2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2</v>
      </c>
      <c r="BC87">
        <v>29</v>
      </c>
      <c r="BD87">
        <v>10</v>
      </c>
      <c r="BE87">
        <v>5</v>
      </c>
      <c r="BF87">
        <v>1</v>
      </c>
      <c r="BG87">
        <v>2</v>
      </c>
      <c r="BH87">
        <v>2</v>
      </c>
      <c r="BI87">
        <v>3</v>
      </c>
      <c r="BJ87">
        <v>2</v>
      </c>
      <c r="BK87">
        <v>1</v>
      </c>
      <c r="BL87">
        <v>2</v>
      </c>
      <c r="BM87">
        <v>1</v>
      </c>
      <c r="BN87">
        <v>29</v>
      </c>
      <c r="BO87">
        <v>115</v>
      </c>
      <c r="BP87">
        <v>105</v>
      </c>
      <c r="BQ87">
        <v>2</v>
      </c>
      <c r="BR87">
        <v>4</v>
      </c>
      <c r="BS87">
        <v>1</v>
      </c>
      <c r="BT87">
        <v>0</v>
      </c>
      <c r="BU87">
        <v>0</v>
      </c>
      <c r="BV87">
        <v>1</v>
      </c>
      <c r="BW87">
        <v>1</v>
      </c>
      <c r="BX87">
        <v>0</v>
      </c>
      <c r="BY87">
        <v>1</v>
      </c>
      <c r="BZ87">
        <v>115</v>
      </c>
      <c r="CA87">
        <v>27</v>
      </c>
      <c r="CB87">
        <v>1</v>
      </c>
      <c r="CC87">
        <v>4</v>
      </c>
      <c r="CD87">
        <v>1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21</v>
      </c>
      <c r="CL87">
        <v>27</v>
      </c>
      <c r="CM87">
        <v>9</v>
      </c>
      <c r="CN87">
        <v>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2</v>
      </c>
      <c r="CV87">
        <v>0</v>
      </c>
      <c r="CW87">
        <v>0</v>
      </c>
      <c r="CX87">
        <v>9</v>
      </c>
      <c r="CY87">
        <v>24</v>
      </c>
      <c r="CZ87">
        <v>15</v>
      </c>
      <c r="DA87">
        <v>1</v>
      </c>
      <c r="DB87">
        <v>0</v>
      </c>
      <c r="DC87">
        <v>1</v>
      </c>
      <c r="DD87">
        <v>1</v>
      </c>
      <c r="DE87">
        <v>0</v>
      </c>
      <c r="DF87">
        <v>1</v>
      </c>
      <c r="DG87">
        <v>0</v>
      </c>
      <c r="DH87">
        <v>1</v>
      </c>
      <c r="DI87">
        <v>4</v>
      </c>
      <c r="DJ87">
        <v>24</v>
      </c>
      <c r="DK87">
        <v>167</v>
      </c>
      <c r="DL87">
        <v>114</v>
      </c>
      <c r="DM87">
        <v>31</v>
      </c>
      <c r="DN87">
        <v>1</v>
      </c>
      <c r="DO87">
        <v>6</v>
      </c>
      <c r="DP87">
        <v>2</v>
      </c>
      <c r="DQ87">
        <v>3</v>
      </c>
      <c r="DR87">
        <v>1</v>
      </c>
      <c r="DS87">
        <v>1</v>
      </c>
      <c r="DT87">
        <v>2</v>
      </c>
      <c r="DU87">
        <v>6</v>
      </c>
      <c r="DV87">
        <v>167</v>
      </c>
      <c r="DW87">
        <v>12</v>
      </c>
      <c r="DX87">
        <v>2</v>
      </c>
      <c r="DY87">
        <v>1</v>
      </c>
      <c r="DZ87">
        <v>0</v>
      </c>
      <c r="EA87">
        <v>0</v>
      </c>
      <c r="EB87">
        <v>0</v>
      </c>
      <c r="EC87">
        <v>0</v>
      </c>
      <c r="ED87">
        <v>1</v>
      </c>
      <c r="EE87">
        <v>0</v>
      </c>
      <c r="EF87">
        <v>8</v>
      </c>
      <c r="EG87">
        <v>0</v>
      </c>
      <c r="EH87">
        <v>12</v>
      </c>
      <c r="EI87">
        <v>8</v>
      </c>
      <c r="EJ87">
        <v>1</v>
      </c>
      <c r="EK87">
        <v>7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8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</row>
    <row r="88" spans="1:172" ht="14.25">
      <c r="A88">
        <v>83</v>
      </c>
      <c r="B88" t="str">
        <f t="shared" si="15"/>
        <v>100401</v>
      </c>
      <c r="C88" t="str">
        <f t="shared" si="16"/>
        <v>m. Łęczyca</v>
      </c>
      <c r="D88" t="str">
        <f t="shared" si="17"/>
        <v>Łęczycki</v>
      </c>
      <c r="E88" t="str">
        <f t="shared" si="12"/>
        <v>łódzkie</v>
      </c>
      <c r="F88">
        <v>7</v>
      </c>
      <c r="G88" t="str">
        <f>"Liceum Ogólnokształcące, ul. Konopnickiej 13, 99-100 Łęczyca"</f>
        <v>Liceum Ogólnokształcące, ul. Konopnickiej 13, 99-100 Łęczyca</v>
      </c>
      <c r="H88">
        <v>1613</v>
      </c>
      <c r="I88">
        <v>1613</v>
      </c>
      <c r="J88">
        <v>0</v>
      </c>
      <c r="K88">
        <v>1139</v>
      </c>
      <c r="L88">
        <v>746</v>
      </c>
      <c r="M88">
        <v>393</v>
      </c>
      <c r="N88">
        <v>393</v>
      </c>
      <c r="O88">
        <v>0</v>
      </c>
      <c r="P88">
        <v>1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393</v>
      </c>
      <c r="Z88">
        <v>0</v>
      </c>
      <c r="AA88">
        <v>0</v>
      </c>
      <c r="AB88">
        <v>393</v>
      </c>
      <c r="AC88">
        <v>32</v>
      </c>
      <c r="AD88">
        <v>361</v>
      </c>
      <c r="AE88">
        <v>11</v>
      </c>
      <c r="AF88">
        <v>6</v>
      </c>
      <c r="AG88">
        <v>1</v>
      </c>
      <c r="AH88">
        <v>3</v>
      </c>
      <c r="AI88">
        <v>0</v>
      </c>
      <c r="AJ88">
        <v>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11</v>
      </c>
      <c r="AQ88">
        <v>2</v>
      </c>
      <c r="AR88">
        <v>1</v>
      </c>
      <c r="AS88">
        <v>1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2</v>
      </c>
      <c r="BC88">
        <v>36</v>
      </c>
      <c r="BD88">
        <v>20</v>
      </c>
      <c r="BE88">
        <v>4</v>
      </c>
      <c r="BF88">
        <v>3</v>
      </c>
      <c r="BG88">
        <v>1</v>
      </c>
      <c r="BH88">
        <v>1</v>
      </c>
      <c r="BI88">
        <v>1</v>
      </c>
      <c r="BJ88">
        <v>0</v>
      </c>
      <c r="BK88">
        <v>1</v>
      </c>
      <c r="BL88">
        <v>4</v>
      </c>
      <c r="BM88">
        <v>1</v>
      </c>
      <c r="BN88">
        <v>36</v>
      </c>
      <c r="BO88">
        <v>103</v>
      </c>
      <c r="BP88">
        <v>87</v>
      </c>
      <c r="BQ88">
        <v>6</v>
      </c>
      <c r="BR88">
        <v>5</v>
      </c>
      <c r="BS88">
        <v>2</v>
      </c>
      <c r="BT88">
        <v>0</v>
      </c>
      <c r="BU88">
        <v>0</v>
      </c>
      <c r="BV88">
        <v>0</v>
      </c>
      <c r="BW88">
        <v>0</v>
      </c>
      <c r="BX88">
        <v>1</v>
      </c>
      <c r="BY88">
        <v>2</v>
      </c>
      <c r="BZ88">
        <v>103</v>
      </c>
      <c r="CA88">
        <v>25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2</v>
      </c>
      <c r="CI88">
        <v>0</v>
      </c>
      <c r="CJ88">
        <v>1</v>
      </c>
      <c r="CK88">
        <v>22</v>
      </c>
      <c r="CL88">
        <v>25</v>
      </c>
      <c r="CM88">
        <v>7</v>
      </c>
      <c r="CN88">
        <v>2</v>
      </c>
      <c r="CO88">
        <v>0</v>
      </c>
      <c r="CP88">
        <v>0</v>
      </c>
      <c r="CQ88">
        <v>0</v>
      </c>
      <c r="CR88">
        <v>1</v>
      </c>
      <c r="CS88">
        <v>0</v>
      </c>
      <c r="CT88">
        <v>1</v>
      </c>
      <c r="CU88">
        <v>0</v>
      </c>
      <c r="CV88">
        <v>3</v>
      </c>
      <c r="CW88">
        <v>0</v>
      </c>
      <c r="CX88">
        <v>7</v>
      </c>
      <c r="CY88">
        <v>12</v>
      </c>
      <c r="CZ88">
        <v>8</v>
      </c>
      <c r="DA88">
        <v>0</v>
      </c>
      <c r="DB88">
        <v>0</v>
      </c>
      <c r="DC88">
        <v>1</v>
      </c>
      <c r="DD88">
        <v>0</v>
      </c>
      <c r="DE88">
        <v>2</v>
      </c>
      <c r="DF88">
        <v>1</v>
      </c>
      <c r="DG88">
        <v>0</v>
      </c>
      <c r="DH88">
        <v>0</v>
      </c>
      <c r="DI88">
        <v>0</v>
      </c>
      <c r="DJ88">
        <v>12</v>
      </c>
      <c r="DK88">
        <v>142</v>
      </c>
      <c r="DL88">
        <v>103</v>
      </c>
      <c r="DM88">
        <v>25</v>
      </c>
      <c r="DN88">
        <v>4</v>
      </c>
      <c r="DO88">
        <v>1</v>
      </c>
      <c r="DP88">
        <v>4</v>
      </c>
      <c r="DQ88">
        <v>1</v>
      </c>
      <c r="DR88">
        <v>1</v>
      </c>
      <c r="DS88">
        <v>0</v>
      </c>
      <c r="DT88">
        <v>0</v>
      </c>
      <c r="DU88">
        <v>3</v>
      </c>
      <c r="DV88">
        <v>142</v>
      </c>
      <c r="DW88">
        <v>14</v>
      </c>
      <c r="DX88">
        <v>3</v>
      </c>
      <c r="DY88">
        <v>1</v>
      </c>
      <c r="DZ88">
        <v>1</v>
      </c>
      <c r="EA88">
        <v>5</v>
      </c>
      <c r="EB88">
        <v>1</v>
      </c>
      <c r="EC88">
        <v>1</v>
      </c>
      <c r="ED88">
        <v>0</v>
      </c>
      <c r="EE88">
        <v>1</v>
      </c>
      <c r="EF88">
        <v>0</v>
      </c>
      <c r="EG88">
        <v>1</v>
      </c>
      <c r="EH88">
        <v>14</v>
      </c>
      <c r="EI88">
        <v>3</v>
      </c>
      <c r="EJ88">
        <v>1</v>
      </c>
      <c r="EK88">
        <v>1</v>
      </c>
      <c r="EL88">
        <v>0</v>
      </c>
      <c r="EM88">
        <v>0</v>
      </c>
      <c r="EN88">
        <v>0</v>
      </c>
      <c r="EO88">
        <v>1</v>
      </c>
      <c r="EP88">
        <v>0</v>
      </c>
      <c r="EQ88">
        <v>0</v>
      </c>
      <c r="ER88">
        <v>3</v>
      </c>
      <c r="ES88">
        <v>1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1</v>
      </c>
      <c r="FB88">
        <v>0</v>
      </c>
      <c r="FC88">
        <v>0</v>
      </c>
      <c r="FD88">
        <v>1</v>
      </c>
      <c r="FE88">
        <v>5</v>
      </c>
      <c r="FF88">
        <v>1</v>
      </c>
      <c r="FG88">
        <v>1</v>
      </c>
      <c r="FH88">
        <v>0</v>
      </c>
      <c r="FI88">
        <v>1</v>
      </c>
      <c r="FJ88">
        <v>0</v>
      </c>
      <c r="FK88">
        <v>0</v>
      </c>
      <c r="FL88">
        <v>1</v>
      </c>
      <c r="FM88">
        <v>0</v>
      </c>
      <c r="FN88">
        <v>0</v>
      </c>
      <c r="FO88">
        <v>1</v>
      </c>
      <c r="FP88">
        <v>5</v>
      </c>
    </row>
    <row r="89" spans="1:172" ht="14.25">
      <c r="A89">
        <v>84</v>
      </c>
      <c r="B89" t="str">
        <f t="shared" si="15"/>
        <v>100401</v>
      </c>
      <c r="C89" t="str">
        <f t="shared" si="16"/>
        <v>m. Łęczyca</v>
      </c>
      <c r="D89" t="str">
        <f t="shared" si="17"/>
        <v>Łęczycki</v>
      </c>
      <c r="E89" t="str">
        <f t="shared" si="12"/>
        <v>łódzkie</v>
      </c>
      <c r="F89">
        <v>8</v>
      </c>
      <c r="G89" t="str">
        <f>"Bursa Szkolna, ul. Kaliska 13, 99-100 Łęczyca"</f>
        <v>Bursa Szkolna, ul. Kaliska 13, 99-100 Łęczyca</v>
      </c>
      <c r="H89">
        <v>1699</v>
      </c>
      <c r="I89">
        <v>1699</v>
      </c>
      <c r="J89">
        <v>0</v>
      </c>
      <c r="K89">
        <v>1200</v>
      </c>
      <c r="L89">
        <v>831</v>
      </c>
      <c r="M89">
        <v>369</v>
      </c>
      <c r="N89">
        <v>369</v>
      </c>
      <c r="O89">
        <v>0</v>
      </c>
      <c r="P89">
        <v>0</v>
      </c>
      <c r="Q89">
        <v>3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369</v>
      </c>
      <c r="Z89">
        <v>0</v>
      </c>
      <c r="AA89">
        <v>0</v>
      </c>
      <c r="AB89">
        <v>369</v>
      </c>
      <c r="AC89">
        <v>23</v>
      </c>
      <c r="AD89">
        <v>346</v>
      </c>
      <c r="AE89">
        <v>3</v>
      </c>
      <c r="AF89">
        <v>2</v>
      </c>
      <c r="AG89">
        <v>0</v>
      </c>
      <c r="AH89">
        <v>0</v>
      </c>
      <c r="AI89">
        <v>1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3</v>
      </c>
      <c r="AQ89">
        <v>3</v>
      </c>
      <c r="AR89">
        <v>2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1</v>
      </c>
      <c r="BA89">
        <v>0</v>
      </c>
      <c r="BB89">
        <v>3</v>
      </c>
      <c r="BC89">
        <v>32</v>
      </c>
      <c r="BD89">
        <v>19</v>
      </c>
      <c r="BE89">
        <v>2</v>
      </c>
      <c r="BF89">
        <v>0</v>
      </c>
      <c r="BG89">
        <v>2</v>
      </c>
      <c r="BH89">
        <v>0</v>
      </c>
      <c r="BI89">
        <v>1</v>
      </c>
      <c r="BJ89">
        <v>0</v>
      </c>
      <c r="BK89">
        <v>1</v>
      </c>
      <c r="BL89">
        <v>3</v>
      </c>
      <c r="BM89">
        <v>4</v>
      </c>
      <c r="BN89">
        <v>32</v>
      </c>
      <c r="BO89">
        <v>104</v>
      </c>
      <c r="BP89">
        <v>80</v>
      </c>
      <c r="BQ89">
        <v>4</v>
      </c>
      <c r="BR89">
        <v>3</v>
      </c>
      <c r="BS89">
        <v>9</v>
      </c>
      <c r="BT89">
        <v>1</v>
      </c>
      <c r="BU89">
        <v>1</v>
      </c>
      <c r="BV89">
        <v>2</v>
      </c>
      <c r="BW89">
        <v>0</v>
      </c>
      <c r="BX89">
        <v>1</v>
      </c>
      <c r="BY89">
        <v>3</v>
      </c>
      <c r="BZ89">
        <v>104</v>
      </c>
      <c r="CA89">
        <v>30</v>
      </c>
      <c r="CB89">
        <v>2</v>
      </c>
      <c r="CC89">
        <v>2</v>
      </c>
      <c r="CD89">
        <v>1</v>
      </c>
      <c r="CE89">
        <v>0</v>
      </c>
      <c r="CF89">
        <v>0</v>
      </c>
      <c r="CG89">
        <v>1</v>
      </c>
      <c r="CH89">
        <v>0</v>
      </c>
      <c r="CI89">
        <v>0</v>
      </c>
      <c r="CJ89">
        <v>2</v>
      </c>
      <c r="CK89">
        <v>22</v>
      </c>
      <c r="CL89">
        <v>30</v>
      </c>
      <c r="CM89">
        <v>5</v>
      </c>
      <c r="CN89">
        <v>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1</v>
      </c>
      <c r="CU89">
        <v>0</v>
      </c>
      <c r="CV89">
        <v>0</v>
      </c>
      <c r="CW89">
        <v>0</v>
      </c>
      <c r="CX89">
        <v>5</v>
      </c>
      <c r="CY89">
        <v>23</v>
      </c>
      <c r="CZ89">
        <v>21</v>
      </c>
      <c r="DA89">
        <v>1</v>
      </c>
      <c r="DB89">
        <v>0</v>
      </c>
      <c r="DC89">
        <v>0</v>
      </c>
      <c r="DD89">
        <v>0</v>
      </c>
      <c r="DE89">
        <v>1</v>
      </c>
      <c r="DF89">
        <v>0</v>
      </c>
      <c r="DG89">
        <v>0</v>
      </c>
      <c r="DH89">
        <v>0</v>
      </c>
      <c r="DI89">
        <v>0</v>
      </c>
      <c r="DJ89">
        <v>23</v>
      </c>
      <c r="DK89">
        <v>130</v>
      </c>
      <c r="DL89">
        <v>102</v>
      </c>
      <c r="DM89">
        <v>19</v>
      </c>
      <c r="DN89">
        <v>0</v>
      </c>
      <c r="DO89">
        <v>1</v>
      </c>
      <c r="DP89">
        <v>1</v>
      </c>
      <c r="DQ89">
        <v>1</v>
      </c>
      <c r="DR89">
        <v>0</v>
      </c>
      <c r="DS89">
        <v>0</v>
      </c>
      <c r="DT89">
        <v>3</v>
      </c>
      <c r="DU89">
        <v>3</v>
      </c>
      <c r="DV89">
        <v>130</v>
      </c>
      <c r="DW89">
        <v>7</v>
      </c>
      <c r="DX89">
        <v>2</v>
      </c>
      <c r="DY89">
        <v>0</v>
      </c>
      <c r="DZ89">
        <v>0</v>
      </c>
      <c r="EA89">
        <v>2</v>
      </c>
      <c r="EB89">
        <v>0</v>
      </c>
      <c r="EC89">
        <v>0</v>
      </c>
      <c r="ED89">
        <v>0</v>
      </c>
      <c r="EE89">
        <v>0</v>
      </c>
      <c r="EF89">
        <v>3</v>
      </c>
      <c r="EG89">
        <v>0</v>
      </c>
      <c r="EH89">
        <v>7</v>
      </c>
      <c r="EI89">
        <v>5</v>
      </c>
      <c r="EJ89">
        <v>1</v>
      </c>
      <c r="EK89">
        <v>4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5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4</v>
      </c>
      <c r="FF89">
        <v>2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2</v>
      </c>
      <c r="FP89">
        <v>4</v>
      </c>
    </row>
    <row r="90" spans="1:172" ht="14.25">
      <c r="A90">
        <v>85</v>
      </c>
      <c r="B90" t="str">
        <f t="shared" si="15"/>
        <v>100401</v>
      </c>
      <c r="C90" t="str">
        <f t="shared" si="16"/>
        <v>m. Łęczyca</v>
      </c>
      <c r="D90" t="str">
        <f t="shared" si="17"/>
        <v>Łęczycki</v>
      </c>
      <c r="E90" t="str">
        <f t="shared" si="12"/>
        <v>łódzkie</v>
      </c>
      <c r="F90">
        <v>9</v>
      </c>
      <c r="G90" t="str">
        <f>"Dom Kultury, al. Jana Pawła II 11, 99-100 Łęczyca"</f>
        <v>Dom Kultury, al. Jana Pawła II 11, 99-100 Łęczyca</v>
      </c>
      <c r="H90">
        <v>838</v>
      </c>
      <c r="I90">
        <v>838</v>
      </c>
      <c r="J90">
        <v>0</v>
      </c>
      <c r="K90">
        <v>590</v>
      </c>
      <c r="L90">
        <v>474</v>
      </c>
      <c r="M90">
        <v>116</v>
      </c>
      <c r="N90">
        <v>116</v>
      </c>
      <c r="O90">
        <v>0</v>
      </c>
      <c r="P90">
        <v>0</v>
      </c>
      <c r="Q90">
        <v>2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116</v>
      </c>
      <c r="Z90">
        <v>0</v>
      </c>
      <c r="AA90">
        <v>0</v>
      </c>
      <c r="AB90">
        <v>116</v>
      </c>
      <c r="AC90">
        <v>5</v>
      </c>
      <c r="AD90">
        <v>111</v>
      </c>
      <c r="AE90">
        <v>6</v>
      </c>
      <c r="AF90">
        <v>4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1</v>
      </c>
      <c r="AM90">
        <v>0</v>
      </c>
      <c r="AN90">
        <v>0</v>
      </c>
      <c r="AO90">
        <v>1</v>
      </c>
      <c r="AP90">
        <v>6</v>
      </c>
      <c r="AQ90">
        <v>1</v>
      </c>
      <c r="AR90">
        <v>0</v>
      </c>
      <c r="AS90">
        <v>0</v>
      </c>
      <c r="AT90">
        <v>0</v>
      </c>
      <c r="AU90">
        <v>1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1</v>
      </c>
      <c r="BC90">
        <v>10</v>
      </c>
      <c r="BD90">
        <v>7</v>
      </c>
      <c r="BE90">
        <v>3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10</v>
      </c>
      <c r="BO90">
        <v>32</v>
      </c>
      <c r="BP90">
        <v>25</v>
      </c>
      <c r="BQ90">
        <v>4</v>
      </c>
      <c r="BR90">
        <v>2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1</v>
      </c>
      <c r="BZ90">
        <v>32</v>
      </c>
      <c r="CA90">
        <v>21</v>
      </c>
      <c r="CB90">
        <v>1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1</v>
      </c>
      <c r="CJ90">
        <v>0</v>
      </c>
      <c r="CK90">
        <v>19</v>
      </c>
      <c r="CL90">
        <v>21</v>
      </c>
      <c r="CM90">
        <v>2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1</v>
      </c>
      <c r="CX90">
        <v>2</v>
      </c>
      <c r="CY90">
        <v>9</v>
      </c>
      <c r="CZ90">
        <v>7</v>
      </c>
      <c r="DA90">
        <v>2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9</v>
      </c>
      <c r="DK90">
        <v>26</v>
      </c>
      <c r="DL90">
        <v>15</v>
      </c>
      <c r="DM90">
        <v>9</v>
      </c>
      <c r="DN90">
        <v>0</v>
      </c>
      <c r="DO90">
        <v>0</v>
      </c>
      <c r="DP90">
        <v>1</v>
      </c>
      <c r="DQ90">
        <v>0</v>
      </c>
      <c r="DR90">
        <v>0</v>
      </c>
      <c r="DS90">
        <v>0</v>
      </c>
      <c r="DT90">
        <v>1</v>
      </c>
      <c r="DU90">
        <v>0</v>
      </c>
      <c r="DV90">
        <v>26</v>
      </c>
      <c r="DW90">
        <v>4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4</v>
      </c>
      <c r="EH90">
        <v>4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</row>
    <row r="91" spans="1:172" ht="14.25">
      <c r="A91">
        <v>86</v>
      </c>
      <c r="B91" t="str">
        <f t="shared" si="15"/>
        <v>100401</v>
      </c>
      <c r="C91" t="str">
        <f t="shared" si="16"/>
        <v>m. Łęczyca</v>
      </c>
      <c r="D91" t="str">
        <f t="shared" si="17"/>
        <v>Łęczycki</v>
      </c>
      <c r="E91" t="str">
        <f t="shared" si="12"/>
        <v>łódzkie</v>
      </c>
      <c r="F91">
        <v>10</v>
      </c>
      <c r="G91" t="str">
        <f>"Zespół Opieki Zdrowotnej, Zachodnia 6, 99-100 Łęczyca"</f>
        <v>Zespół Opieki Zdrowotnej, Zachodnia 6, 99-100 Łęczyca</v>
      </c>
      <c r="H91">
        <v>143</v>
      </c>
      <c r="I91">
        <v>143</v>
      </c>
      <c r="J91">
        <v>0</v>
      </c>
      <c r="K91">
        <v>110</v>
      </c>
      <c r="L91">
        <v>93</v>
      </c>
      <c r="M91">
        <v>17</v>
      </c>
      <c r="N91">
        <v>17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17</v>
      </c>
      <c r="Z91">
        <v>0</v>
      </c>
      <c r="AA91">
        <v>0</v>
      </c>
      <c r="AB91">
        <v>17</v>
      </c>
      <c r="AC91">
        <v>2</v>
      </c>
      <c r="AD91">
        <v>15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1</v>
      </c>
      <c r="BD91">
        <v>0</v>
      </c>
      <c r="BE91">
        <v>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1</v>
      </c>
      <c r="BO91">
        <v>6</v>
      </c>
      <c r="BP91">
        <v>5</v>
      </c>
      <c r="BQ91">
        <v>1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6</v>
      </c>
      <c r="CA91">
        <v>2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1</v>
      </c>
      <c r="CI91">
        <v>0</v>
      </c>
      <c r="CJ91">
        <v>0</v>
      </c>
      <c r="CK91">
        <v>1</v>
      </c>
      <c r="CL91">
        <v>2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1</v>
      </c>
      <c r="CZ91">
        <v>1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1</v>
      </c>
      <c r="DK91">
        <v>3</v>
      </c>
      <c r="DL91">
        <v>2</v>
      </c>
      <c r="DM91">
        <v>0</v>
      </c>
      <c r="DN91">
        <v>1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3</v>
      </c>
      <c r="DW91">
        <v>1</v>
      </c>
      <c r="DX91">
        <v>1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1</v>
      </c>
      <c r="EI91">
        <v>1</v>
      </c>
      <c r="EJ91">
        <v>0</v>
      </c>
      <c r="EK91">
        <v>1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1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</row>
    <row r="92" spans="1:172" ht="14.25">
      <c r="A92">
        <v>87</v>
      </c>
      <c r="B92" t="str">
        <f t="shared" si="15"/>
        <v>100401</v>
      </c>
      <c r="C92" t="str">
        <f t="shared" si="16"/>
        <v>m. Łęczyca</v>
      </c>
      <c r="D92" t="str">
        <f t="shared" si="17"/>
        <v>Łęczycki</v>
      </c>
      <c r="E92" t="str">
        <f t="shared" si="12"/>
        <v>łódzkie</v>
      </c>
      <c r="F92">
        <v>11</v>
      </c>
      <c r="G92" t="str">
        <f>"Dom Pomocy Społecznej, Kilińskiego 2, 99-100 Łęczyca"</f>
        <v>Dom Pomocy Społecznej, Kilińskiego 2, 99-100 Łęczyca</v>
      </c>
      <c r="H92">
        <v>50</v>
      </c>
      <c r="I92">
        <v>50</v>
      </c>
      <c r="J92">
        <v>0</v>
      </c>
      <c r="K92">
        <v>50</v>
      </c>
      <c r="L92">
        <v>12</v>
      </c>
      <c r="M92">
        <v>38</v>
      </c>
      <c r="N92">
        <v>38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38</v>
      </c>
      <c r="Z92">
        <v>0</v>
      </c>
      <c r="AA92">
        <v>0</v>
      </c>
      <c r="AB92">
        <v>38</v>
      </c>
      <c r="AC92">
        <v>3</v>
      </c>
      <c r="AD92">
        <v>35</v>
      </c>
      <c r="AE92">
        <v>9</v>
      </c>
      <c r="AF92">
        <v>2</v>
      </c>
      <c r="AG92">
        <v>3</v>
      </c>
      <c r="AH92">
        <v>0</v>
      </c>
      <c r="AI92">
        <v>1</v>
      </c>
      <c r="AJ92">
        <v>0</v>
      </c>
      <c r="AK92">
        <v>0</v>
      </c>
      <c r="AL92">
        <v>1</v>
      </c>
      <c r="AM92">
        <v>1</v>
      </c>
      <c r="AN92">
        <v>1</v>
      </c>
      <c r="AO92">
        <v>0</v>
      </c>
      <c r="AP92">
        <v>9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1</v>
      </c>
      <c r="BD92">
        <v>1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1</v>
      </c>
      <c r="BO92">
        <v>19</v>
      </c>
      <c r="BP92">
        <v>12</v>
      </c>
      <c r="BQ92">
        <v>2</v>
      </c>
      <c r="BR92">
        <v>1</v>
      </c>
      <c r="BS92">
        <v>0</v>
      </c>
      <c r="BT92">
        <v>0</v>
      </c>
      <c r="BU92">
        <v>0</v>
      </c>
      <c r="BV92">
        <v>0</v>
      </c>
      <c r="BW92">
        <v>1</v>
      </c>
      <c r="BX92">
        <v>0</v>
      </c>
      <c r="BY92">
        <v>3</v>
      </c>
      <c r="BZ92">
        <v>19</v>
      </c>
      <c r="CA92">
        <v>3</v>
      </c>
      <c r="CB92">
        <v>0</v>
      </c>
      <c r="CC92">
        <v>0</v>
      </c>
      <c r="CD92">
        <v>1</v>
      </c>
      <c r="CE92">
        <v>0</v>
      </c>
      <c r="CF92">
        <v>0</v>
      </c>
      <c r="CG92">
        <v>1</v>
      </c>
      <c r="CH92">
        <v>0</v>
      </c>
      <c r="CI92">
        <v>0</v>
      </c>
      <c r="CJ92">
        <v>1</v>
      </c>
      <c r="CK92">
        <v>0</v>
      </c>
      <c r="CL92">
        <v>3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1</v>
      </c>
      <c r="CZ92">
        <v>0</v>
      </c>
      <c r="DA92">
        <v>0</v>
      </c>
      <c r="DB92">
        <v>0</v>
      </c>
      <c r="DC92">
        <v>1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1</v>
      </c>
      <c r="DK92">
        <v>1</v>
      </c>
      <c r="DL92">
        <v>0</v>
      </c>
      <c r="DM92">
        <v>0</v>
      </c>
      <c r="DN92">
        <v>0</v>
      </c>
      <c r="DO92">
        <v>0</v>
      </c>
      <c r="DP92">
        <v>1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1</v>
      </c>
      <c r="DW92">
        <v>1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1</v>
      </c>
      <c r="EF92">
        <v>0</v>
      </c>
      <c r="EG92">
        <v>0</v>
      </c>
      <c r="EH92">
        <v>1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</row>
    <row r="93" spans="1:172" ht="14.25">
      <c r="A93">
        <v>88</v>
      </c>
      <c r="B93" t="str">
        <f t="shared" si="15"/>
        <v>100401</v>
      </c>
      <c r="C93" t="str">
        <f t="shared" si="16"/>
        <v>m. Łęczyca</v>
      </c>
      <c r="D93" t="str">
        <f t="shared" si="17"/>
        <v>Łęczycki</v>
      </c>
      <c r="E93" t="str">
        <f t="shared" si="12"/>
        <v>łódzkie</v>
      </c>
      <c r="F93">
        <v>12</v>
      </c>
      <c r="G93" t="str">
        <f>"Zakład Opiekuńczo Leczniczy w Łęczycy, Lotnicza 2A, 99-100 Łęczyca"</f>
        <v>Zakład Opiekuńczo Leczniczy w Łęczycy, Lotnicza 2A, 99-100 Łęczyca</v>
      </c>
      <c r="H93">
        <v>26</v>
      </c>
      <c r="I93">
        <v>26</v>
      </c>
      <c r="J93">
        <v>0</v>
      </c>
      <c r="K93">
        <v>26</v>
      </c>
      <c r="L93">
        <v>15</v>
      </c>
      <c r="M93">
        <v>11</v>
      </c>
      <c r="N93">
        <v>11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11</v>
      </c>
      <c r="Z93">
        <v>0</v>
      </c>
      <c r="AA93">
        <v>0</v>
      </c>
      <c r="AB93">
        <v>11</v>
      </c>
      <c r="AC93">
        <v>0</v>
      </c>
      <c r="AD93">
        <v>11</v>
      </c>
      <c r="AE93">
        <v>2</v>
      </c>
      <c r="AF93">
        <v>0</v>
      </c>
      <c r="AG93">
        <v>0</v>
      </c>
      <c r="AH93">
        <v>0</v>
      </c>
      <c r="AI93">
        <v>1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2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1</v>
      </c>
      <c r="BD93">
        <v>0</v>
      </c>
      <c r="BE93">
        <v>0</v>
      </c>
      <c r="BF93">
        <v>0</v>
      </c>
      <c r="BG93">
        <v>0</v>
      </c>
      <c r="BH93">
        <v>1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1</v>
      </c>
      <c r="BO93">
        <v>6</v>
      </c>
      <c r="BP93">
        <v>4</v>
      </c>
      <c r="BQ93">
        <v>0</v>
      </c>
      <c r="BR93">
        <v>0</v>
      </c>
      <c r="BS93">
        <v>0</v>
      </c>
      <c r="BT93">
        <v>1</v>
      </c>
      <c r="BU93">
        <v>0</v>
      </c>
      <c r="BV93">
        <v>0</v>
      </c>
      <c r="BW93">
        <v>0</v>
      </c>
      <c r="BX93">
        <v>0</v>
      </c>
      <c r="BY93">
        <v>1</v>
      </c>
      <c r="BZ93">
        <v>6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2</v>
      </c>
      <c r="DL93">
        <v>2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2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</row>
    <row r="94" spans="1:172" ht="14.25">
      <c r="A94">
        <v>89</v>
      </c>
      <c r="B94" t="str">
        <f>"100402"</f>
        <v>100402</v>
      </c>
      <c r="C94" t="str">
        <f>"Daszyna"</f>
        <v>Daszyna</v>
      </c>
      <c r="D94" t="str">
        <f t="shared" si="17"/>
        <v>Łęczycki</v>
      </c>
      <c r="E94" t="str">
        <f t="shared" si="12"/>
        <v>łódzkie</v>
      </c>
      <c r="F94">
        <v>1</v>
      </c>
      <c r="G94" t="str">
        <f>"Urząd Gminy, Daszyna 34a, 99-107 Daszyna"</f>
        <v>Urząd Gminy, Daszyna 34a, 99-107 Daszyna</v>
      </c>
      <c r="H94">
        <v>1721</v>
      </c>
      <c r="I94">
        <v>1721</v>
      </c>
      <c r="J94">
        <v>0</v>
      </c>
      <c r="K94">
        <v>1210</v>
      </c>
      <c r="L94">
        <v>996</v>
      </c>
      <c r="M94">
        <v>214</v>
      </c>
      <c r="N94">
        <v>214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214</v>
      </c>
      <c r="Z94">
        <v>0</v>
      </c>
      <c r="AA94">
        <v>0</v>
      </c>
      <c r="AB94">
        <v>214</v>
      </c>
      <c r="AC94">
        <v>10</v>
      </c>
      <c r="AD94">
        <v>204</v>
      </c>
      <c r="AE94">
        <v>3</v>
      </c>
      <c r="AF94">
        <v>1</v>
      </c>
      <c r="AG94">
        <v>0</v>
      </c>
      <c r="AH94">
        <v>0</v>
      </c>
      <c r="AI94">
        <v>1</v>
      </c>
      <c r="AJ94">
        <v>0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3</v>
      </c>
      <c r="AQ94">
        <v>7</v>
      </c>
      <c r="AR94">
        <v>5</v>
      </c>
      <c r="AS94">
        <v>1</v>
      </c>
      <c r="AT94">
        <v>0</v>
      </c>
      <c r="AU94">
        <v>0</v>
      </c>
      <c r="AV94">
        <v>0</v>
      </c>
      <c r="AW94">
        <v>0</v>
      </c>
      <c r="AX94">
        <v>1</v>
      </c>
      <c r="AY94">
        <v>0</v>
      </c>
      <c r="AZ94">
        <v>0</v>
      </c>
      <c r="BA94">
        <v>0</v>
      </c>
      <c r="BB94">
        <v>7</v>
      </c>
      <c r="BC94">
        <v>7</v>
      </c>
      <c r="BD94">
        <v>4</v>
      </c>
      <c r="BE94">
        <v>2</v>
      </c>
      <c r="BF94">
        <v>1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7</v>
      </c>
      <c r="BO94">
        <v>81</v>
      </c>
      <c r="BP94">
        <v>70</v>
      </c>
      <c r="BQ94">
        <v>1</v>
      </c>
      <c r="BR94">
        <v>1</v>
      </c>
      <c r="BS94">
        <v>4</v>
      </c>
      <c r="BT94">
        <v>0</v>
      </c>
      <c r="BU94">
        <v>0</v>
      </c>
      <c r="BV94">
        <v>0</v>
      </c>
      <c r="BW94">
        <v>1</v>
      </c>
      <c r="BX94">
        <v>0</v>
      </c>
      <c r="BY94">
        <v>4</v>
      </c>
      <c r="BZ94">
        <v>81</v>
      </c>
      <c r="CA94">
        <v>13</v>
      </c>
      <c r="CB94">
        <v>0</v>
      </c>
      <c r="CC94">
        <v>0</v>
      </c>
      <c r="CD94">
        <v>2</v>
      </c>
      <c r="CE94">
        <v>0</v>
      </c>
      <c r="CF94">
        <v>0</v>
      </c>
      <c r="CG94">
        <v>1</v>
      </c>
      <c r="CH94">
        <v>0</v>
      </c>
      <c r="CI94">
        <v>0</v>
      </c>
      <c r="CJ94">
        <v>0</v>
      </c>
      <c r="CK94">
        <v>10</v>
      </c>
      <c r="CL94">
        <v>13</v>
      </c>
      <c r="CM94">
        <v>15</v>
      </c>
      <c r="CN94">
        <v>3</v>
      </c>
      <c r="CO94">
        <v>1</v>
      </c>
      <c r="CP94">
        <v>0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9</v>
      </c>
      <c r="CW94">
        <v>1</v>
      </c>
      <c r="CX94">
        <v>15</v>
      </c>
      <c r="CY94">
        <v>6</v>
      </c>
      <c r="CZ94">
        <v>1</v>
      </c>
      <c r="DA94">
        <v>0</v>
      </c>
      <c r="DB94">
        <v>0</v>
      </c>
      <c r="DC94">
        <v>0</v>
      </c>
      <c r="DD94">
        <v>0</v>
      </c>
      <c r="DE94">
        <v>1</v>
      </c>
      <c r="DF94">
        <v>2</v>
      </c>
      <c r="DG94">
        <v>0</v>
      </c>
      <c r="DH94">
        <v>2</v>
      </c>
      <c r="DI94">
        <v>0</v>
      </c>
      <c r="DJ94">
        <v>6</v>
      </c>
      <c r="DK94">
        <v>31</v>
      </c>
      <c r="DL94">
        <v>24</v>
      </c>
      <c r="DM94">
        <v>6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1</v>
      </c>
      <c r="DU94">
        <v>0</v>
      </c>
      <c r="DV94">
        <v>31</v>
      </c>
      <c r="DW94">
        <v>39</v>
      </c>
      <c r="DX94">
        <v>11</v>
      </c>
      <c r="DY94">
        <v>5</v>
      </c>
      <c r="DZ94">
        <v>0</v>
      </c>
      <c r="EA94">
        <v>2</v>
      </c>
      <c r="EB94">
        <v>1</v>
      </c>
      <c r="EC94">
        <v>2</v>
      </c>
      <c r="ED94">
        <v>2</v>
      </c>
      <c r="EE94">
        <v>1</v>
      </c>
      <c r="EF94">
        <v>15</v>
      </c>
      <c r="EG94">
        <v>0</v>
      </c>
      <c r="EH94">
        <v>39</v>
      </c>
      <c r="EI94">
        <v>1</v>
      </c>
      <c r="EJ94">
        <v>0</v>
      </c>
      <c r="EK94">
        <v>1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1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1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1</v>
      </c>
      <c r="FP94">
        <v>1</v>
      </c>
    </row>
    <row r="95" spans="1:172" ht="14.25">
      <c r="A95">
        <v>90</v>
      </c>
      <c r="B95" t="str">
        <f>"100402"</f>
        <v>100402</v>
      </c>
      <c r="C95" t="str">
        <f>"Daszyna"</f>
        <v>Daszyna</v>
      </c>
      <c r="D95" t="str">
        <f t="shared" si="17"/>
        <v>Łęczycki</v>
      </c>
      <c r="E95" t="str">
        <f t="shared" si="12"/>
        <v>łódzkie</v>
      </c>
      <c r="F95">
        <v>2</v>
      </c>
      <c r="G95" t="str">
        <f>"Szkoła Podstawowa, Mazew 68, 99-107 Daszyna"</f>
        <v>Szkoła Podstawowa, Mazew 68, 99-107 Daszyna</v>
      </c>
      <c r="H95">
        <v>1656</v>
      </c>
      <c r="I95">
        <v>1656</v>
      </c>
      <c r="J95">
        <v>0</v>
      </c>
      <c r="K95">
        <v>1160</v>
      </c>
      <c r="L95">
        <v>1002</v>
      </c>
      <c r="M95">
        <v>158</v>
      </c>
      <c r="N95">
        <v>158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158</v>
      </c>
      <c r="Z95">
        <v>0</v>
      </c>
      <c r="AA95">
        <v>0</v>
      </c>
      <c r="AB95">
        <v>158</v>
      </c>
      <c r="AC95">
        <v>8</v>
      </c>
      <c r="AD95">
        <v>150</v>
      </c>
      <c r="AE95">
        <v>3</v>
      </c>
      <c r="AF95">
        <v>1</v>
      </c>
      <c r="AG95">
        <v>0</v>
      </c>
      <c r="AH95">
        <v>2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3</v>
      </c>
      <c r="AQ95">
        <v>2</v>
      </c>
      <c r="AR95">
        <v>0</v>
      </c>
      <c r="AS95">
        <v>0</v>
      </c>
      <c r="AT95">
        <v>1</v>
      </c>
      <c r="AU95">
        <v>0</v>
      </c>
      <c r="AV95">
        <v>1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2</v>
      </c>
      <c r="BC95">
        <v>5</v>
      </c>
      <c r="BD95">
        <v>3</v>
      </c>
      <c r="BE95">
        <v>2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5</v>
      </c>
      <c r="BO95">
        <v>77</v>
      </c>
      <c r="BP95">
        <v>59</v>
      </c>
      <c r="BQ95">
        <v>2</v>
      </c>
      <c r="BR95">
        <v>2</v>
      </c>
      <c r="BS95">
        <v>8</v>
      </c>
      <c r="BT95">
        <v>2</v>
      </c>
      <c r="BU95">
        <v>0</v>
      </c>
      <c r="BV95">
        <v>0</v>
      </c>
      <c r="BW95">
        <v>0</v>
      </c>
      <c r="BX95">
        <v>0</v>
      </c>
      <c r="BY95">
        <v>4</v>
      </c>
      <c r="BZ95">
        <v>77</v>
      </c>
      <c r="CA95">
        <v>3</v>
      </c>
      <c r="CB95">
        <v>0</v>
      </c>
      <c r="CC95">
        <v>0</v>
      </c>
      <c r="CD95">
        <v>0</v>
      </c>
      <c r="CE95">
        <v>1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2</v>
      </c>
      <c r="CL95">
        <v>3</v>
      </c>
      <c r="CM95">
        <v>5</v>
      </c>
      <c r="CN95">
        <v>4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1</v>
      </c>
      <c r="CW95">
        <v>0</v>
      </c>
      <c r="CX95">
        <v>5</v>
      </c>
      <c r="CY95">
        <v>9</v>
      </c>
      <c r="CZ95">
        <v>6</v>
      </c>
      <c r="DA95">
        <v>0</v>
      </c>
      <c r="DB95">
        <v>0</v>
      </c>
      <c r="DC95">
        <v>2</v>
      </c>
      <c r="DD95">
        <v>0</v>
      </c>
      <c r="DE95">
        <v>0</v>
      </c>
      <c r="DF95">
        <v>0</v>
      </c>
      <c r="DG95">
        <v>1</v>
      </c>
      <c r="DH95">
        <v>0</v>
      </c>
      <c r="DI95">
        <v>0</v>
      </c>
      <c r="DJ95">
        <v>9</v>
      </c>
      <c r="DK95">
        <v>9</v>
      </c>
      <c r="DL95">
        <v>2</v>
      </c>
      <c r="DM95">
        <v>3</v>
      </c>
      <c r="DN95">
        <v>0</v>
      </c>
      <c r="DO95">
        <v>2</v>
      </c>
      <c r="DP95">
        <v>0</v>
      </c>
      <c r="DQ95">
        <v>0</v>
      </c>
      <c r="DR95">
        <v>0</v>
      </c>
      <c r="DS95">
        <v>1</v>
      </c>
      <c r="DT95">
        <v>0</v>
      </c>
      <c r="DU95">
        <v>1</v>
      </c>
      <c r="DV95">
        <v>9</v>
      </c>
      <c r="DW95">
        <v>28</v>
      </c>
      <c r="DX95">
        <v>16</v>
      </c>
      <c r="DY95">
        <v>2</v>
      </c>
      <c r="DZ95">
        <v>0</v>
      </c>
      <c r="EA95">
        <v>1</v>
      </c>
      <c r="EB95">
        <v>1</v>
      </c>
      <c r="EC95">
        <v>1</v>
      </c>
      <c r="ED95">
        <v>0</v>
      </c>
      <c r="EE95">
        <v>4</v>
      </c>
      <c r="EF95">
        <v>2</v>
      </c>
      <c r="EG95">
        <v>1</v>
      </c>
      <c r="EH95">
        <v>28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6</v>
      </c>
      <c r="ET95">
        <v>5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1</v>
      </c>
      <c r="FB95">
        <v>0</v>
      </c>
      <c r="FC95">
        <v>0</v>
      </c>
      <c r="FD95">
        <v>6</v>
      </c>
      <c r="FE95">
        <v>3</v>
      </c>
      <c r="FF95">
        <v>0</v>
      </c>
      <c r="FG95">
        <v>1</v>
      </c>
      <c r="FH95">
        <v>0</v>
      </c>
      <c r="FI95">
        <v>0</v>
      </c>
      <c r="FJ95">
        <v>0</v>
      </c>
      <c r="FK95">
        <v>0</v>
      </c>
      <c r="FL95">
        <v>1</v>
      </c>
      <c r="FM95">
        <v>0</v>
      </c>
      <c r="FN95">
        <v>0</v>
      </c>
      <c r="FO95">
        <v>1</v>
      </c>
      <c r="FP95">
        <v>3</v>
      </c>
    </row>
    <row r="96" spans="1:172" ht="14.25">
      <c r="A96">
        <v>91</v>
      </c>
      <c r="B96" t="str">
        <f aca="true" t="shared" si="18" ref="B96:B101">"100403"</f>
        <v>100403</v>
      </c>
      <c r="C96" t="str">
        <f aca="true" t="shared" si="19" ref="C96:C101">"Góra Św. Małgorzaty"</f>
        <v>Góra Św. Małgorzaty</v>
      </c>
      <c r="D96" t="str">
        <f t="shared" si="17"/>
        <v>Łęczycki</v>
      </c>
      <c r="E96" t="str">
        <f t="shared" si="12"/>
        <v>łódzkie</v>
      </c>
      <c r="F96">
        <v>1</v>
      </c>
      <c r="G96" t="str">
        <f>"Budynek po byłej szkole podstawowej, Tum 69, 99-100 Łęczyca"</f>
        <v>Budynek po byłej szkole podstawowej, Tum 69, 99-100 Łęczyca</v>
      </c>
      <c r="H96">
        <v>659</v>
      </c>
      <c r="I96">
        <v>659</v>
      </c>
      <c r="J96">
        <v>0</v>
      </c>
      <c r="K96">
        <v>460</v>
      </c>
      <c r="L96">
        <v>314</v>
      </c>
      <c r="M96">
        <v>146</v>
      </c>
      <c r="N96">
        <v>146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146</v>
      </c>
      <c r="Z96">
        <v>0</v>
      </c>
      <c r="AA96">
        <v>0</v>
      </c>
      <c r="AB96">
        <v>146</v>
      </c>
      <c r="AC96">
        <v>5</v>
      </c>
      <c r="AD96">
        <v>141</v>
      </c>
      <c r="AE96">
        <v>2</v>
      </c>
      <c r="AF96">
        <v>1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2</v>
      </c>
      <c r="AQ96">
        <v>1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1</v>
      </c>
      <c r="BC96">
        <v>6</v>
      </c>
      <c r="BD96">
        <v>5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1</v>
      </c>
      <c r="BN96">
        <v>6</v>
      </c>
      <c r="BO96">
        <v>75</v>
      </c>
      <c r="BP96">
        <v>68</v>
      </c>
      <c r="BQ96">
        <v>0</v>
      </c>
      <c r="BR96">
        <v>1</v>
      </c>
      <c r="BS96">
        <v>2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4</v>
      </c>
      <c r="BZ96">
        <v>75</v>
      </c>
      <c r="CA96">
        <v>3</v>
      </c>
      <c r="CB96">
        <v>1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2</v>
      </c>
      <c r="CL96">
        <v>3</v>
      </c>
      <c r="CM96">
        <v>3</v>
      </c>
      <c r="CN96">
        <v>3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3</v>
      </c>
      <c r="CY96">
        <v>5</v>
      </c>
      <c r="CZ96">
        <v>3</v>
      </c>
      <c r="DA96">
        <v>0</v>
      </c>
      <c r="DB96">
        <v>0</v>
      </c>
      <c r="DC96">
        <v>0</v>
      </c>
      <c r="DD96">
        <v>0</v>
      </c>
      <c r="DE96">
        <v>1</v>
      </c>
      <c r="DF96">
        <v>0</v>
      </c>
      <c r="DG96">
        <v>0</v>
      </c>
      <c r="DH96">
        <v>0</v>
      </c>
      <c r="DI96">
        <v>1</v>
      </c>
      <c r="DJ96">
        <v>5</v>
      </c>
      <c r="DK96">
        <v>22</v>
      </c>
      <c r="DL96">
        <v>15</v>
      </c>
      <c r="DM96">
        <v>4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3</v>
      </c>
      <c r="DV96">
        <v>22</v>
      </c>
      <c r="DW96">
        <v>24</v>
      </c>
      <c r="DX96">
        <v>7</v>
      </c>
      <c r="DY96">
        <v>1</v>
      </c>
      <c r="DZ96">
        <v>0</v>
      </c>
      <c r="EA96">
        <v>2</v>
      </c>
      <c r="EB96">
        <v>0</v>
      </c>
      <c r="EC96">
        <v>0</v>
      </c>
      <c r="ED96">
        <v>5</v>
      </c>
      <c r="EE96">
        <v>1</v>
      </c>
      <c r="EF96">
        <v>8</v>
      </c>
      <c r="EG96">
        <v>0</v>
      </c>
      <c r="EH96">
        <v>24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</row>
    <row r="97" spans="1:172" ht="14.25">
      <c r="A97">
        <v>92</v>
      </c>
      <c r="B97" t="str">
        <f t="shared" si="18"/>
        <v>100403</v>
      </c>
      <c r="C97" t="str">
        <f t="shared" si="19"/>
        <v>Góra Św. Małgorzaty</v>
      </c>
      <c r="D97" t="str">
        <f t="shared" si="17"/>
        <v>Łęczycki</v>
      </c>
      <c r="E97" t="str">
        <f t="shared" si="12"/>
        <v>łódzkie</v>
      </c>
      <c r="F97">
        <v>2</v>
      </c>
      <c r="G97" t="str">
        <f>"Świetlica wiejska, Witaszewice, 99-122 Góra Św. Małgorzaty"</f>
        <v>Świetlica wiejska, Witaszewice, 99-122 Góra Św. Małgorzaty</v>
      </c>
      <c r="H97">
        <v>643</v>
      </c>
      <c r="I97">
        <v>643</v>
      </c>
      <c r="J97">
        <v>0</v>
      </c>
      <c r="K97">
        <v>450</v>
      </c>
      <c r="L97">
        <v>360</v>
      </c>
      <c r="M97">
        <v>90</v>
      </c>
      <c r="N97">
        <v>90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90</v>
      </c>
      <c r="Z97">
        <v>0</v>
      </c>
      <c r="AA97">
        <v>0</v>
      </c>
      <c r="AB97">
        <v>90</v>
      </c>
      <c r="AC97">
        <v>4</v>
      </c>
      <c r="AD97">
        <v>86</v>
      </c>
      <c r="AE97">
        <v>3</v>
      </c>
      <c r="AF97">
        <v>3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3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60</v>
      </c>
      <c r="BP97">
        <v>50</v>
      </c>
      <c r="BQ97">
        <v>0</v>
      </c>
      <c r="BR97">
        <v>0</v>
      </c>
      <c r="BS97">
        <v>3</v>
      </c>
      <c r="BT97">
        <v>2</v>
      </c>
      <c r="BU97">
        <v>0</v>
      </c>
      <c r="BV97">
        <v>4</v>
      </c>
      <c r="BW97">
        <v>0</v>
      </c>
      <c r="BX97">
        <v>0</v>
      </c>
      <c r="BY97">
        <v>1</v>
      </c>
      <c r="BZ97">
        <v>60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1</v>
      </c>
      <c r="CN97">
        <v>1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1</v>
      </c>
      <c r="CY97">
        <v>2</v>
      </c>
      <c r="CZ97">
        <v>0</v>
      </c>
      <c r="DA97">
        <v>0</v>
      </c>
      <c r="DB97">
        <v>0</v>
      </c>
      <c r="DC97">
        <v>2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2</v>
      </c>
      <c r="DK97">
        <v>7</v>
      </c>
      <c r="DL97">
        <v>5</v>
      </c>
      <c r="DM97">
        <v>2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7</v>
      </c>
      <c r="DW97">
        <v>9</v>
      </c>
      <c r="DX97">
        <v>1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8</v>
      </c>
      <c r="EG97">
        <v>0</v>
      </c>
      <c r="EH97">
        <v>9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2</v>
      </c>
      <c r="ET97">
        <v>0</v>
      </c>
      <c r="EU97">
        <v>1</v>
      </c>
      <c r="EV97">
        <v>0</v>
      </c>
      <c r="EW97">
        <v>1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2</v>
      </c>
      <c r="FE97">
        <v>2</v>
      </c>
      <c r="FF97">
        <v>2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2</v>
      </c>
    </row>
    <row r="98" spans="1:172" ht="14.25">
      <c r="A98">
        <v>93</v>
      </c>
      <c r="B98" t="str">
        <f t="shared" si="18"/>
        <v>100403</v>
      </c>
      <c r="C98" t="str">
        <f t="shared" si="19"/>
        <v>Góra Św. Małgorzaty</v>
      </c>
      <c r="D98" t="str">
        <f t="shared" si="17"/>
        <v>Łęczycki</v>
      </c>
      <c r="E98" t="str">
        <f t="shared" si="12"/>
        <v>łódzkie</v>
      </c>
      <c r="F98">
        <v>3</v>
      </c>
      <c r="G98" t="str">
        <f>"Szkoła Podstawowa, Sługi 44, 99-122 Góra Św.Małgorzaty"</f>
        <v>Szkoła Podstawowa, Sługi 44, 99-122 Góra Św.Małgorzaty</v>
      </c>
      <c r="H98">
        <v>267</v>
      </c>
      <c r="I98">
        <v>267</v>
      </c>
      <c r="J98">
        <v>0</v>
      </c>
      <c r="K98">
        <v>190</v>
      </c>
      <c r="L98">
        <v>158</v>
      </c>
      <c r="M98">
        <v>32</v>
      </c>
      <c r="N98">
        <v>32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32</v>
      </c>
      <c r="Z98">
        <v>0</v>
      </c>
      <c r="AA98">
        <v>0</v>
      </c>
      <c r="AB98">
        <v>32</v>
      </c>
      <c r="AC98">
        <v>1</v>
      </c>
      <c r="AD98">
        <v>31</v>
      </c>
      <c r="AE98">
        <v>2</v>
      </c>
      <c r="AF98">
        <v>2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2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22</v>
      </c>
      <c r="BP98">
        <v>22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22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1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1</v>
      </c>
      <c r="CY98">
        <v>1</v>
      </c>
      <c r="CZ98">
        <v>0</v>
      </c>
      <c r="DA98">
        <v>1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1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5</v>
      </c>
      <c r="DX98">
        <v>1</v>
      </c>
      <c r="DY98">
        <v>0</v>
      </c>
      <c r="DZ98">
        <v>0</v>
      </c>
      <c r="EA98">
        <v>0</v>
      </c>
      <c r="EB98">
        <v>1</v>
      </c>
      <c r="EC98">
        <v>0</v>
      </c>
      <c r="ED98">
        <v>0</v>
      </c>
      <c r="EE98">
        <v>1</v>
      </c>
      <c r="EF98">
        <v>2</v>
      </c>
      <c r="EG98">
        <v>0</v>
      </c>
      <c r="EH98">
        <v>5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</row>
    <row r="99" spans="1:172" ht="14.25">
      <c r="A99">
        <v>94</v>
      </c>
      <c r="B99" t="str">
        <f t="shared" si="18"/>
        <v>100403</v>
      </c>
      <c r="C99" t="str">
        <f t="shared" si="19"/>
        <v>Góra Św. Małgorzaty</v>
      </c>
      <c r="D99" t="str">
        <f t="shared" si="17"/>
        <v>Łęczycki</v>
      </c>
      <c r="E99" t="str">
        <f t="shared" si="12"/>
        <v>łódzkie</v>
      </c>
      <c r="F99">
        <v>4</v>
      </c>
      <c r="G99" t="str">
        <f>"Gimnazjum, Nowy Gaj 23, 99-122 Góra Św. Małgorzaty"</f>
        <v>Gimnazjum, Nowy Gaj 23, 99-122 Góra Św. Małgorzaty</v>
      </c>
      <c r="H99">
        <v>619</v>
      </c>
      <c r="I99">
        <v>619</v>
      </c>
      <c r="J99">
        <v>0</v>
      </c>
      <c r="K99">
        <v>430</v>
      </c>
      <c r="L99">
        <v>344</v>
      </c>
      <c r="M99">
        <v>86</v>
      </c>
      <c r="N99">
        <v>86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86</v>
      </c>
      <c r="Z99">
        <v>0</v>
      </c>
      <c r="AA99">
        <v>0</v>
      </c>
      <c r="AB99">
        <v>86</v>
      </c>
      <c r="AC99">
        <v>6</v>
      </c>
      <c r="AD99">
        <v>80</v>
      </c>
      <c r="AE99">
        <v>2</v>
      </c>
      <c r="AF99">
        <v>1</v>
      </c>
      <c r="AG99">
        <v>1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2</v>
      </c>
      <c r="AQ99">
        <v>1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1</v>
      </c>
      <c r="BB99">
        <v>1</v>
      </c>
      <c r="BC99">
        <v>8</v>
      </c>
      <c r="BD99">
        <v>3</v>
      </c>
      <c r="BE99">
        <v>0</v>
      </c>
      <c r="BF99">
        <v>1</v>
      </c>
      <c r="BG99">
        <v>0</v>
      </c>
      <c r="BH99">
        <v>0</v>
      </c>
      <c r="BI99">
        <v>0</v>
      </c>
      <c r="BJ99">
        <v>0</v>
      </c>
      <c r="BK99">
        <v>3</v>
      </c>
      <c r="BL99">
        <v>1</v>
      </c>
      <c r="BM99">
        <v>0</v>
      </c>
      <c r="BN99">
        <v>8</v>
      </c>
      <c r="BO99">
        <v>39</v>
      </c>
      <c r="BP99">
        <v>24</v>
      </c>
      <c r="BQ99">
        <v>3</v>
      </c>
      <c r="BR99">
        <v>3</v>
      </c>
      <c r="BS99">
        <v>3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6</v>
      </c>
      <c r="BZ99">
        <v>39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7</v>
      </c>
      <c r="CZ99">
        <v>6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1</v>
      </c>
      <c r="DJ99">
        <v>7</v>
      </c>
      <c r="DK99">
        <v>11</v>
      </c>
      <c r="DL99">
        <v>8</v>
      </c>
      <c r="DM99">
        <v>1</v>
      </c>
      <c r="DN99">
        <v>0</v>
      </c>
      <c r="DO99">
        <v>0</v>
      </c>
      <c r="DP99">
        <v>2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11</v>
      </c>
      <c r="DW99">
        <v>12</v>
      </c>
      <c r="DX99">
        <v>1</v>
      </c>
      <c r="DY99">
        <v>0</v>
      </c>
      <c r="DZ99">
        <v>0</v>
      </c>
      <c r="EA99">
        <v>0</v>
      </c>
      <c r="EB99">
        <v>0</v>
      </c>
      <c r="EC99">
        <v>1</v>
      </c>
      <c r="ED99">
        <v>0</v>
      </c>
      <c r="EE99">
        <v>0</v>
      </c>
      <c r="EF99">
        <v>10</v>
      </c>
      <c r="EG99">
        <v>0</v>
      </c>
      <c r="EH99">
        <v>12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</row>
    <row r="100" spans="1:172" ht="14.25">
      <c r="A100">
        <v>95</v>
      </c>
      <c r="B100" t="str">
        <f t="shared" si="18"/>
        <v>100403</v>
      </c>
      <c r="C100" t="str">
        <f t="shared" si="19"/>
        <v>Góra Św. Małgorzaty</v>
      </c>
      <c r="D100" t="str">
        <f t="shared" si="17"/>
        <v>Łęczycki</v>
      </c>
      <c r="E100" t="str">
        <f t="shared" si="12"/>
        <v>łódzkie</v>
      </c>
      <c r="F100">
        <v>5</v>
      </c>
      <c r="G100" t="str">
        <f>"Szkoła Podstawowa, Góra Świętej Małgorzaty 42, 99-122 Góra Św.Małgorzaty"</f>
        <v>Szkoła Podstawowa, Góra Świętej Małgorzaty 42, 99-122 Góra Św.Małgorzaty</v>
      </c>
      <c r="H100">
        <v>1417</v>
      </c>
      <c r="I100">
        <v>1417</v>
      </c>
      <c r="J100">
        <v>0</v>
      </c>
      <c r="K100">
        <v>990</v>
      </c>
      <c r="L100">
        <v>846</v>
      </c>
      <c r="M100">
        <v>144</v>
      </c>
      <c r="N100">
        <v>144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144</v>
      </c>
      <c r="Z100">
        <v>0</v>
      </c>
      <c r="AA100">
        <v>0</v>
      </c>
      <c r="AB100">
        <v>144</v>
      </c>
      <c r="AC100">
        <v>3</v>
      </c>
      <c r="AD100">
        <v>141</v>
      </c>
      <c r="AE100">
        <v>6</v>
      </c>
      <c r="AF100">
        <v>4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1</v>
      </c>
      <c r="AM100">
        <v>1</v>
      </c>
      <c r="AN100">
        <v>0</v>
      </c>
      <c r="AO100">
        <v>0</v>
      </c>
      <c r="AP100">
        <v>6</v>
      </c>
      <c r="AQ100">
        <v>4</v>
      </c>
      <c r="AR100">
        <v>1</v>
      </c>
      <c r="AS100">
        <v>0</v>
      </c>
      <c r="AT100">
        <v>0</v>
      </c>
      <c r="AU100">
        <v>1</v>
      </c>
      <c r="AV100">
        <v>1</v>
      </c>
      <c r="AW100">
        <v>1</v>
      </c>
      <c r="AX100">
        <v>0</v>
      </c>
      <c r="AY100">
        <v>0</v>
      </c>
      <c r="AZ100">
        <v>0</v>
      </c>
      <c r="BA100">
        <v>0</v>
      </c>
      <c r="BB100">
        <v>4</v>
      </c>
      <c r="BC100">
        <v>8</v>
      </c>
      <c r="BD100">
        <v>4</v>
      </c>
      <c r="BE100">
        <v>1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3</v>
      </c>
      <c r="BN100">
        <v>8</v>
      </c>
      <c r="BO100">
        <v>70</v>
      </c>
      <c r="BP100">
        <v>57</v>
      </c>
      <c r="BQ100">
        <v>4</v>
      </c>
      <c r="BR100">
        <v>0</v>
      </c>
      <c r="BS100">
        <v>2</v>
      </c>
      <c r="BT100">
        <v>0</v>
      </c>
      <c r="BU100">
        <v>0</v>
      </c>
      <c r="BV100">
        <v>1</v>
      </c>
      <c r="BW100">
        <v>0</v>
      </c>
      <c r="BX100">
        <v>0</v>
      </c>
      <c r="BY100">
        <v>6</v>
      </c>
      <c r="BZ100">
        <v>70</v>
      </c>
      <c r="CA100">
        <v>6</v>
      </c>
      <c r="CB100">
        <v>3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1</v>
      </c>
      <c r="CI100">
        <v>0</v>
      </c>
      <c r="CJ100">
        <v>0</v>
      </c>
      <c r="CK100">
        <v>2</v>
      </c>
      <c r="CL100">
        <v>6</v>
      </c>
      <c r="CM100">
        <v>1</v>
      </c>
      <c r="CN100">
        <v>0</v>
      </c>
      <c r="CO100">
        <v>1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2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1</v>
      </c>
      <c r="DG100">
        <v>0</v>
      </c>
      <c r="DH100">
        <v>0</v>
      </c>
      <c r="DI100">
        <v>1</v>
      </c>
      <c r="DJ100">
        <v>2</v>
      </c>
      <c r="DK100">
        <v>20</v>
      </c>
      <c r="DL100">
        <v>18</v>
      </c>
      <c r="DM100">
        <v>1</v>
      </c>
      <c r="DN100">
        <v>1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20</v>
      </c>
      <c r="DW100">
        <v>20</v>
      </c>
      <c r="DX100">
        <v>2</v>
      </c>
      <c r="DY100">
        <v>0</v>
      </c>
      <c r="DZ100">
        <v>0</v>
      </c>
      <c r="EA100">
        <v>0</v>
      </c>
      <c r="EB100">
        <v>0</v>
      </c>
      <c r="EC100">
        <v>3</v>
      </c>
      <c r="ED100">
        <v>0</v>
      </c>
      <c r="EE100">
        <v>1</v>
      </c>
      <c r="EF100">
        <v>10</v>
      </c>
      <c r="EG100">
        <v>4</v>
      </c>
      <c r="EH100">
        <v>20</v>
      </c>
      <c r="EI100">
        <v>1</v>
      </c>
      <c r="EJ100">
        <v>1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1</v>
      </c>
      <c r="ES100">
        <v>1</v>
      </c>
      <c r="ET100">
        <v>0</v>
      </c>
      <c r="EU100">
        <v>0</v>
      </c>
      <c r="EV100">
        <v>1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1</v>
      </c>
      <c r="FE100">
        <v>2</v>
      </c>
      <c r="FF100">
        <v>1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1</v>
      </c>
      <c r="FP100">
        <v>2</v>
      </c>
    </row>
    <row r="101" spans="1:172" ht="14.25">
      <c r="A101">
        <v>96</v>
      </c>
      <c r="B101" t="str">
        <f t="shared" si="18"/>
        <v>100403</v>
      </c>
      <c r="C101" t="str">
        <f t="shared" si="19"/>
        <v>Góra Św. Małgorzaty</v>
      </c>
      <c r="D101" t="str">
        <f t="shared" si="17"/>
        <v>Łęczycki</v>
      </c>
      <c r="E101" t="str">
        <f t="shared" si="12"/>
        <v>łódzkie</v>
      </c>
      <c r="F101">
        <v>6</v>
      </c>
      <c r="G101" t="str">
        <f>"Dom Pomocy Społecznej, Karsznice 62, 99-122 Góra Św. Małgorzaty"</f>
        <v>Dom Pomocy Społecznej, Karsznice 62, 99-122 Góra Św. Małgorzaty</v>
      </c>
      <c r="H101">
        <v>30</v>
      </c>
      <c r="I101">
        <v>30</v>
      </c>
      <c r="J101">
        <v>0</v>
      </c>
      <c r="K101">
        <v>29</v>
      </c>
      <c r="L101">
        <v>13</v>
      </c>
      <c r="M101">
        <v>16</v>
      </c>
      <c r="N101">
        <v>16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16</v>
      </c>
      <c r="Z101">
        <v>0</v>
      </c>
      <c r="AA101">
        <v>0</v>
      </c>
      <c r="AB101">
        <v>16</v>
      </c>
      <c r="AC101">
        <v>2</v>
      </c>
      <c r="AD101">
        <v>14</v>
      </c>
      <c r="AE101">
        <v>7</v>
      </c>
      <c r="AF101">
        <v>4</v>
      </c>
      <c r="AG101">
        <v>0</v>
      </c>
      <c r="AH101">
        <v>1</v>
      </c>
      <c r="AI101">
        <v>0</v>
      </c>
      <c r="AJ101">
        <v>1</v>
      </c>
      <c r="AK101">
        <v>1</v>
      </c>
      <c r="AL101">
        <v>0</v>
      </c>
      <c r="AM101">
        <v>0</v>
      </c>
      <c r="AN101">
        <v>0</v>
      </c>
      <c r="AO101">
        <v>0</v>
      </c>
      <c r="AP101">
        <v>7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2</v>
      </c>
      <c r="BD101">
        <v>0</v>
      </c>
      <c r="BE101">
        <v>0</v>
      </c>
      <c r="BF101">
        <v>1</v>
      </c>
      <c r="BG101">
        <v>0</v>
      </c>
      <c r="BH101">
        <v>0</v>
      </c>
      <c r="BI101">
        <v>0</v>
      </c>
      <c r="BJ101">
        <v>1</v>
      </c>
      <c r="BK101">
        <v>0</v>
      </c>
      <c r="BL101">
        <v>0</v>
      </c>
      <c r="BM101">
        <v>0</v>
      </c>
      <c r="BN101">
        <v>2</v>
      </c>
      <c r="BO101">
        <v>2</v>
      </c>
      <c r="BP101">
        <v>1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1</v>
      </c>
      <c r="BZ101">
        <v>2</v>
      </c>
      <c r="CA101">
        <v>2</v>
      </c>
      <c r="CB101">
        <v>1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2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1</v>
      </c>
      <c r="FF101">
        <v>1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1</v>
      </c>
    </row>
    <row r="102" spans="1:172" ht="14.25">
      <c r="A102">
        <v>97</v>
      </c>
      <c r="B102" t="str">
        <f aca="true" t="shared" si="20" ref="B102:B108">"100404"</f>
        <v>100404</v>
      </c>
      <c r="C102" t="str">
        <f aca="true" t="shared" si="21" ref="C102:C108">"Grabów"</f>
        <v>Grabów</v>
      </c>
      <c r="D102" t="str">
        <f t="shared" si="17"/>
        <v>Łęczycki</v>
      </c>
      <c r="E102" t="str">
        <f t="shared" si="12"/>
        <v>łódzkie</v>
      </c>
      <c r="F102">
        <v>1</v>
      </c>
      <c r="G102" t="str">
        <f>"Szkoła Podstawowa, Chorki 8, 99-150 Grabów"</f>
        <v>Szkoła Podstawowa, Chorki 8, 99-150 Grabów</v>
      </c>
      <c r="H102">
        <v>784</v>
      </c>
      <c r="I102">
        <v>784</v>
      </c>
      <c r="J102">
        <v>0</v>
      </c>
      <c r="K102">
        <v>550</v>
      </c>
      <c r="L102">
        <v>416</v>
      </c>
      <c r="M102">
        <v>134</v>
      </c>
      <c r="N102">
        <v>134</v>
      </c>
      <c r="O102">
        <v>0</v>
      </c>
      <c r="P102">
        <v>0</v>
      </c>
      <c r="Q102">
        <v>2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134</v>
      </c>
      <c r="Z102">
        <v>0</v>
      </c>
      <c r="AA102">
        <v>0</v>
      </c>
      <c r="AB102">
        <v>134</v>
      </c>
      <c r="AC102">
        <v>8</v>
      </c>
      <c r="AD102">
        <v>126</v>
      </c>
      <c r="AE102">
        <v>4</v>
      </c>
      <c r="AF102">
        <v>2</v>
      </c>
      <c r="AG102">
        <v>0</v>
      </c>
      <c r="AH102">
        <v>1</v>
      </c>
      <c r="AI102">
        <v>1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4</v>
      </c>
      <c r="AQ102">
        <v>2</v>
      </c>
      <c r="AR102">
        <v>2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2</v>
      </c>
      <c r="BC102">
        <v>2</v>
      </c>
      <c r="BD102">
        <v>1</v>
      </c>
      <c r="BE102">
        <v>1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2</v>
      </c>
      <c r="BO102">
        <v>83</v>
      </c>
      <c r="BP102">
        <v>66</v>
      </c>
      <c r="BQ102">
        <v>1</v>
      </c>
      <c r="BR102">
        <v>1</v>
      </c>
      <c r="BS102">
        <v>6</v>
      </c>
      <c r="BT102">
        <v>1</v>
      </c>
      <c r="BU102">
        <v>0</v>
      </c>
      <c r="BV102">
        <v>0</v>
      </c>
      <c r="BW102">
        <v>0</v>
      </c>
      <c r="BX102">
        <v>0</v>
      </c>
      <c r="BY102">
        <v>8</v>
      </c>
      <c r="BZ102">
        <v>83</v>
      </c>
      <c r="CA102">
        <v>1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1</v>
      </c>
      <c r="CH102">
        <v>0</v>
      </c>
      <c r="CI102">
        <v>0</v>
      </c>
      <c r="CJ102">
        <v>0</v>
      </c>
      <c r="CK102">
        <v>0</v>
      </c>
      <c r="CL102">
        <v>1</v>
      </c>
      <c r="CM102">
        <v>21</v>
      </c>
      <c r="CN102">
        <v>2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19</v>
      </c>
      <c r="CW102">
        <v>0</v>
      </c>
      <c r="CX102">
        <v>21</v>
      </c>
      <c r="CY102">
        <v>3</v>
      </c>
      <c r="CZ102">
        <v>0</v>
      </c>
      <c r="DA102">
        <v>1</v>
      </c>
      <c r="DB102">
        <v>1</v>
      </c>
      <c r="DC102">
        <v>0</v>
      </c>
      <c r="DD102">
        <v>0</v>
      </c>
      <c r="DE102">
        <v>0</v>
      </c>
      <c r="DF102">
        <v>0</v>
      </c>
      <c r="DG102">
        <v>1</v>
      </c>
      <c r="DH102">
        <v>0</v>
      </c>
      <c r="DI102">
        <v>0</v>
      </c>
      <c r="DJ102">
        <v>3</v>
      </c>
      <c r="DK102">
        <v>3</v>
      </c>
      <c r="DL102">
        <v>2</v>
      </c>
      <c r="DM102">
        <v>1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3</v>
      </c>
      <c r="DW102">
        <v>5</v>
      </c>
      <c r="DX102">
        <v>2</v>
      </c>
      <c r="DY102">
        <v>2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1</v>
      </c>
      <c r="EH102">
        <v>5</v>
      </c>
      <c r="EI102">
        <v>1</v>
      </c>
      <c r="EJ102">
        <v>0</v>
      </c>
      <c r="EK102">
        <v>1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1</v>
      </c>
      <c r="ES102">
        <v>1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1</v>
      </c>
      <c r="FD102">
        <v>1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</row>
    <row r="103" spans="1:172" ht="14.25">
      <c r="A103">
        <v>98</v>
      </c>
      <c r="B103" t="str">
        <f t="shared" si="20"/>
        <v>100404</v>
      </c>
      <c r="C103" t="str">
        <f t="shared" si="21"/>
        <v>Grabów</v>
      </c>
      <c r="D103" t="str">
        <f t="shared" si="17"/>
        <v>Łęczycki</v>
      </c>
      <c r="E103" t="str">
        <f t="shared" si="12"/>
        <v>łódzkie</v>
      </c>
      <c r="F103">
        <v>2</v>
      </c>
      <c r="G103" t="str">
        <f>"Szkoła Podstawowa, Stara Sobótka 32, 99-150 Grabów"</f>
        <v>Szkoła Podstawowa, Stara Sobótka 32, 99-150 Grabów</v>
      </c>
      <c r="H103">
        <v>1009</v>
      </c>
      <c r="I103">
        <v>1009</v>
      </c>
      <c r="J103">
        <v>0</v>
      </c>
      <c r="K103">
        <v>709</v>
      </c>
      <c r="L103">
        <v>530</v>
      </c>
      <c r="M103">
        <v>179</v>
      </c>
      <c r="N103">
        <v>179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179</v>
      </c>
      <c r="Z103">
        <v>0</v>
      </c>
      <c r="AA103">
        <v>0</v>
      </c>
      <c r="AB103">
        <v>179</v>
      </c>
      <c r="AC103">
        <v>7</v>
      </c>
      <c r="AD103">
        <v>172</v>
      </c>
      <c r="AE103">
        <v>6</v>
      </c>
      <c r="AF103">
        <v>4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</v>
      </c>
      <c r="AM103">
        <v>1</v>
      </c>
      <c r="AN103">
        <v>0</v>
      </c>
      <c r="AO103">
        <v>0</v>
      </c>
      <c r="AP103">
        <v>6</v>
      </c>
      <c r="AQ103">
        <v>1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1</v>
      </c>
      <c r="BB103">
        <v>1</v>
      </c>
      <c r="BC103">
        <v>16</v>
      </c>
      <c r="BD103">
        <v>10</v>
      </c>
      <c r="BE103">
        <v>3</v>
      </c>
      <c r="BF103">
        <v>1</v>
      </c>
      <c r="BG103">
        <v>0</v>
      </c>
      <c r="BH103">
        <v>0</v>
      </c>
      <c r="BI103">
        <v>1</v>
      </c>
      <c r="BJ103">
        <v>0</v>
      </c>
      <c r="BK103">
        <v>0</v>
      </c>
      <c r="BL103">
        <v>0</v>
      </c>
      <c r="BM103">
        <v>1</v>
      </c>
      <c r="BN103">
        <v>16</v>
      </c>
      <c r="BO103">
        <v>91</v>
      </c>
      <c r="BP103">
        <v>75</v>
      </c>
      <c r="BQ103">
        <v>1</v>
      </c>
      <c r="BR103">
        <v>0</v>
      </c>
      <c r="BS103">
        <v>11</v>
      </c>
      <c r="BT103">
        <v>0</v>
      </c>
      <c r="BU103">
        <v>1</v>
      </c>
      <c r="BV103">
        <v>0</v>
      </c>
      <c r="BW103">
        <v>1</v>
      </c>
      <c r="BX103">
        <v>0</v>
      </c>
      <c r="BY103">
        <v>2</v>
      </c>
      <c r="BZ103">
        <v>91</v>
      </c>
      <c r="CA103">
        <v>3</v>
      </c>
      <c r="CB103">
        <v>1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2</v>
      </c>
      <c r="CL103">
        <v>3</v>
      </c>
      <c r="CM103">
        <v>5</v>
      </c>
      <c r="CN103">
        <v>4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5</v>
      </c>
      <c r="CY103">
        <v>8</v>
      </c>
      <c r="CZ103">
        <v>6</v>
      </c>
      <c r="DA103">
        <v>2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8</v>
      </c>
      <c r="DK103">
        <v>22</v>
      </c>
      <c r="DL103">
        <v>7</v>
      </c>
      <c r="DM103">
        <v>13</v>
      </c>
      <c r="DN103">
        <v>0</v>
      </c>
      <c r="DO103">
        <v>0</v>
      </c>
      <c r="DP103">
        <v>0</v>
      </c>
      <c r="DQ103">
        <v>0</v>
      </c>
      <c r="DR103">
        <v>1</v>
      </c>
      <c r="DS103">
        <v>1</v>
      </c>
      <c r="DT103">
        <v>0</v>
      </c>
      <c r="DU103">
        <v>0</v>
      </c>
      <c r="DV103">
        <v>22</v>
      </c>
      <c r="DW103">
        <v>20</v>
      </c>
      <c r="DX103">
        <v>11</v>
      </c>
      <c r="DY103">
        <v>1</v>
      </c>
      <c r="DZ103">
        <v>2</v>
      </c>
      <c r="EA103">
        <v>3</v>
      </c>
      <c r="EB103">
        <v>0</v>
      </c>
      <c r="EC103">
        <v>0</v>
      </c>
      <c r="ED103">
        <v>0</v>
      </c>
      <c r="EE103">
        <v>2</v>
      </c>
      <c r="EF103">
        <v>0</v>
      </c>
      <c r="EG103">
        <v>1</v>
      </c>
      <c r="EH103">
        <v>20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</row>
    <row r="104" spans="1:172" ht="14.25">
      <c r="A104">
        <v>99</v>
      </c>
      <c r="B104" t="str">
        <f t="shared" si="20"/>
        <v>100404</v>
      </c>
      <c r="C104" t="str">
        <f t="shared" si="21"/>
        <v>Grabów</v>
      </c>
      <c r="D104" t="str">
        <f t="shared" si="17"/>
        <v>Łęczycki</v>
      </c>
      <c r="E104" t="str">
        <f t="shared" si="12"/>
        <v>łódzkie</v>
      </c>
      <c r="F104">
        <v>3</v>
      </c>
      <c r="G104" t="str">
        <f>"Szkoła Podstawowa, Kadzidłowa 22, 99-150 Grabów"</f>
        <v>Szkoła Podstawowa, Kadzidłowa 22, 99-150 Grabów</v>
      </c>
      <c r="H104">
        <v>408</v>
      </c>
      <c r="I104">
        <v>408</v>
      </c>
      <c r="J104">
        <v>0</v>
      </c>
      <c r="K104">
        <v>290</v>
      </c>
      <c r="L104">
        <v>244</v>
      </c>
      <c r="M104">
        <v>46</v>
      </c>
      <c r="N104">
        <v>46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46</v>
      </c>
      <c r="Z104">
        <v>0</v>
      </c>
      <c r="AA104">
        <v>0</v>
      </c>
      <c r="AB104">
        <v>46</v>
      </c>
      <c r="AC104">
        <v>0</v>
      </c>
      <c r="AD104">
        <v>46</v>
      </c>
      <c r="AE104">
        <v>3</v>
      </c>
      <c r="AF104">
        <v>0</v>
      </c>
      <c r="AG104">
        <v>0</v>
      </c>
      <c r="AH104">
        <v>0</v>
      </c>
      <c r="AI104">
        <v>1</v>
      </c>
      <c r="AJ104">
        <v>0</v>
      </c>
      <c r="AK104">
        <v>0</v>
      </c>
      <c r="AL104">
        <v>0</v>
      </c>
      <c r="AM104">
        <v>1</v>
      </c>
      <c r="AN104">
        <v>0</v>
      </c>
      <c r="AO104">
        <v>1</v>
      </c>
      <c r="AP104">
        <v>3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4</v>
      </c>
      <c r="BD104">
        <v>2</v>
      </c>
      <c r="BE104">
        <v>0</v>
      </c>
      <c r="BF104">
        <v>2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4</v>
      </c>
      <c r="BO104">
        <v>14</v>
      </c>
      <c r="BP104">
        <v>8</v>
      </c>
      <c r="BQ104">
        <v>0</v>
      </c>
      <c r="BR104">
        <v>0</v>
      </c>
      <c r="BS104">
        <v>5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1</v>
      </c>
      <c r="BZ104">
        <v>14</v>
      </c>
      <c r="CA104">
        <v>1</v>
      </c>
      <c r="CB104">
        <v>1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1</v>
      </c>
      <c r="CZ104">
        <v>1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1</v>
      </c>
      <c r="DK104">
        <v>4</v>
      </c>
      <c r="DL104">
        <v>2</v>
      </c>
      <c r="DM104">
        <v>1</v>
      </c>
      <c r="DN104">
        <v>0</v>
      </c>
      <c r="DO104">
        <v>0</v>
      </c>
      <c r="DP104">
        <v>0</v>
      </c>
      <c r="DQ104">
        <v>1</v>
      </c>
      <c r="DR104">
        <v>0</v>
      </c>
      <c r="DS104">
        <v>0</v>
      </c>
      <c r="DT104">
        <v>0</v>
      </c>
      <c r="DU104">
        <v>0</v>
      </c>
      <c r="DV104">
        <v>4</v>
      </c>
      <c r="DW104">
        <v>17</v>
      </c>
      <c r="DX104">
        <v>4</v>
      </c>
      <c r="DY104">
        <v>4</v>
      </c>
      <c r="DZ104">
        <v>0</v>
      </c>
      <c r="EA104">
        <v>5</v>
      </c>
      <c r="EB104">
        <v>0</v>
      </c>
      <c r="EC104">
        <v>0</v>
      </c>
      <c r="ED104">
        <v>1</v>
      </c>
      <c r="EE104">
        <v>3</v>
      </c>
      <c r="EF104">
        <v>0</v>
      </c>
      <c r="EG104">
        <v>0</v>
      </c>
      <c r="EH104">
        <v>17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2</v>
      </c>
      <c r="FF104">
        <v>0</v>
      </c>
      <c r="FG104">
        <v>2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2</v>
      </c>
    </row>
    <row r="105" spans="1:172" ht="14.25">
      <c r="A105">
        <v>100</v>
      </c>
      <c r="B105" t="str">
        <f t="shared" si="20"/>
        <v>100404</v>
      </c>
      <c r="C105" t="str">
        <f t="shared" si="21"/>
        <v>Grabów</v>
      </c>
      <c r="D105" t="str">
        <f t="shared" si="17"/>
        <v>Łęczycki</v>
      </c>
      <c r="E105" t="str">
        <f t="shared" si="12"/>
        <v>łódzkie</v>
      </c>
      <c r="F105">
        <v>4</v>
      </c>
      <c r="G105" t="str">
        <f>"Remiza OSP, Besiekiery 14, 99-150 Grabów"</f>
        <v>Remiza OSP, Besiekiery 14, 99-150 Grabów</v>
      </c>
      <c r="H105">
        <v>734</v>
      </c>
      <c r="I105">
        <v>734</v>
      </c>
      <c r="J105">
        <v>0</v>
      </c>
      <c r="K105">
        <v>510</v>
      </c>
      <c r="L105">
        <v>426</v>
      </c>
      <c r="M105">
        <v>84</v>
      </c>
      <c r="N105">
        <v>84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84</v>
      </c>
      <c r="Z105">
        <v>0</v>
      </c>
      <c r="AA105">
        <v>0</v>
      </c>
      <c r="AB105">
        <v>84</v>
      </c>
      <c r="AC105">
        <v>2</v>
      </c>
      <c r="AD105">
        <v>82</v>
      </c>
      <c r="AE105">
        <v>4</v>
      </c>
      <c r="AF105">
        <v>3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1</v>
      </c>
      <c r="AM105">
        <v>0</v>
      </c>
      <c r="AN105">
        <v>0</v>
      </c>
      <c r="AO105">
        <v>0</v>
      </c>
      <c r="AP105">
        <v>4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2</v>
      </c>
      <c r="BD105">
        <v>2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2</v>
      </c>
      <c r="BO105">
        <v>45</v>
      </c>
      <c r="BP105">
        <v>40</v>
      </c>
      <c r="BQ105">
        <v>0</v>
      </c>
      <c r="BR105">
        <v>1</v>
      </c>
      <c r="BS105">
        <v>3</v>
      </c>
      <c r="BT105">
        <v>0</v>
      </c>
      <c r="BU105">
        <v>0</v>
      </c>
      <c r="BV105">
        <v>1</v>
      </c>
      <c r="BW105">
        <v>0</v>
      </c>
      <c r="BX105">
        <v>0</v>
      </c>
      <c r="BY105">
        <v>0</v>
      </c>
      <c r="BZ105">
        <v>45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4</v>
      </c>
      <c r="CN105">
        <v>1</v>
      </c>
      <c r="CO105">
        <v>2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0</v>
      </c>
      <c r="CX105">
        <v>4</v>
      </c>
      <c r="CY105">
        <v>2</v>
      </c>
      <c r="CZ105">
        <v>2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2</v>
      </c>
      <c r="DK105">
        <v>6</v>
      </c>
      <c r="DL105">
        <v>5</v>
      </c>
      <c r="DM105">
        <v>1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6</v>
      </c>
      <c r="DW105">
        <v>18</v>
      </c>
      <c r="DX105">
        <v>5</v>
      </c>
      <c r="DY105">
        <v>4</v>
      </c>
      <c r="DZ105">
        <v>0</v>
      </c>
      <c r="EA105">
        <v>3</v>
      </c>
      <c r="EB105">
        <v>0</v>
      </c>
      <c r="EC105">
        <v>0</v>
      </c>
      <c r="ED105">
        <v>4</v>
      </c>
      <c r="EE105">
        <v>0</v>
      </c>
      <c r="EF105">
        <v>2</v>
      </c>
      <c r="EG105">
        <v>0</v>
      </c>
      <c r="EH105">
        <v>18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1</v>
      </c>
      <c r="FF105">
        <v>0</v>
      </c>
      <c r="FG105">
        <v>1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1</v>
      </c>
    </row>
    <row r="106" spans="1:172" ht="14.25">
      <c r="A106">
        <v>101</v>
      </c>
      <c r="B106" t="str">
        <f t="shared" si="20"/>
        <v>100404</v>
      </c>
      <c r="C106" t="str">
        <f t="shared" si="21"/>
        <v>Grabów</v>
      </c>
      <c r="D106" t="str">
        <f t="shared" si="17"/>
        <v>Łęczycki</v>
      </c>
      <c r="E106" t="str">
        <f t="shared" si="12"/>
        <v>łódzkie</v>
      </c>
      <c r="F106">
        <v>5</v>
      </c>
      <c r="G106" t="str">
        <f>"Remiza OSP, Byszew 36, 99-150 Grabów"</f>
        <v>Remiza OSP, Byszew 36, 99-150 Grabów</v>
      </c>
      <c r="H106">
        <v>359</v>
      </c>
      <c r="I106">
        <v>359</v>
      </c>
      <c r="J106">
        <v>0</v>
      </c>
      <c r="K106">
        <v>250</v>
      </c>
      <c r="L106">
        <v>193</v>
      </c>
      <c r="M106">
        <v>57</v>
      </c>
      <c r="N106">
        <v>57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57</v>
      </c>
      <c r="Z106">
        <v>0</v>
      </c>
      <c r="AA106">
        <v>0</v>
      </c>
      <c r="AB106">
        <v>57</v>
      </c>
      <c r="AC106">
        <v>4</v>
      </c>
      <c r="AD106">
        <v>53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2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1</v>
      </c>
      <c r="AY106">
        <v>0</v>
      </c>
      <c r="AZ106">
        <v>1</v>
      </c>
      <c r="BA106">
        <v>0</v>
      </c>
      <c r="BB106">
        <v>2</v>
      </c>
      <c r="BC106">
        <v>3</v>
      </c>
      <c r="BD106">
        <v>2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1</v>
      </c>
      <c r="BN106">
        <v>3</v>
      </c>
      <c r="BO106">
        <v>29</v>
      </c>
      <c r="BP106">
        <v>27</v>
      </c>
      <c r="BQ106">
        <v>0</v>
      </c>
      <c r="BR106">
        <v>0</v>
      </c>
      <c r="BS106">
        <v>2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29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2</v>
      </c>
      <c r="CZ106">
        <v>2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2</v>
      </c>
      <c r="DK106">
        <v>6</v>
      </c>
      <c r="DL106">
        <v>2</v>
      </c>
      <c r="DM106">
        <v>2</v>
      </c>
      <c r="DN106">
        <v>0</v>
      </c>
      <c r="DO106">
        <v>1</v>
      </c>
      <c r="DP106">
        <v>1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6</v>
      </c>
      <c r="DW106">
        <v>10</v>
      </c>
      <c r="DX106">
        <v>0</v>
      </c>
      <c r="DY106">
        <v>2</v>
      </c>
      <c r="DZ106">
        <v>0</v>
      </c>
      <c r="EA106">
        <v>6</v>
      </c>
      <c r="EB106">
        <v>0</v>
      </c>
      <c r="EC106">
        <v>0</v>
      </c>
      <c r="ED106">
        <v>0</v>
      </c>
      <c r="EE106">
        <v>0</v>
      </c>
      <c r="EF106">
        <v>2</v>
      </c>
      <c r="EG106">
        <v>0</v>
      </c>
      <c r="EH106">
        <v>10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1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1</v>
      </c>
      <c r="FN106">
        <v>0</v>
      </c>
      <c r="FO106">
        <v>0</v>
      </c>
      <c r="FP106">
        <v>1</v>
      </c>
    </row>
    <row r="107" spans="1:172" ht="14.25">
      <c r="A107">
        <v>102</v>
      </c>
      <c r="B107" t="str">
        <f t="shared" si="20"/>
        <v>100404</v>
      </c>
      <c r="C107" t="str">
        <f t="shared" si="21"/>
        <v>Grabów</v>
      </c>
      <c r="D107" t="str">
        <f t="shared" si="17"/>
        <v>Łęczycki</v>
      </c>
      <c r="E107" t="str">
        <f t="shared" si="12"/>
        <v>łódzkie</v>
      </c>
      <c r="F107">
        <v>6</v>
      </c>
      <c r="G107" t="str">
        <f>"Gimnazjum, ul. Jana Kochanowskiego 2, 99-150 Grabów"</f>
        <v>Gimnazjum, ul. Jana Kochanowskiego 2, 99-150 Grabów</v>
      </c>
      <c r="H107">
        <v>967</v>
      </c>
      <c r="I107">
        <v>967</v>
      </c>
      <c r="J107">
        <v>0</v>
      </c>
      <c r="K107">
        <v>680</v>
      </c>
      <c r="L107">
        <v>492</v>
      </c>
      <c r="M107">
        <v>188</v>
      </c>
      <c r="N107">
        <v>188</v>
      </c>
      <c r="O107">
        <v>0</v>
      </c>
      <c r="P107">
        <v>0</v>
      </c>
      <c r="Q107">
        <v>4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188</v>
      </c>
      <c r="Z107">
        <v>0</v>
      </c>
      <c r="AA107">
        <v>0</v>
      </c>
      <c r="AB107">
        <v>188</v>
      </c>
      <c r="AC107">
        <v>5</v>
      </c>
      <c r="AD107">
        <v>183</v>
      </c>
      <c r="AE107">
        <v>5</v>
      </c>
      <c r="AF107">
        <v>4</v>
      </c>
      <c r="AG107">
        <v>1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5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13</v>
      </c>
      <c r="BD107">
        <v>6</v>
      </c>
      <c r="BE107">
        <v>6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1</v>
      </c>
      <c r="BM107">
        <v>0</v>
      </c>
      <c r="BN107">
        <v>13</v>
      </c>
      <c r="BO107">
        <v>98</v>
      </c>
      <c r="BP107">
        <v>84</v>
      </c>
      <c r="BQ107">
        <v>2</v>
      </c>
      <c r="BR107">
        <v>1</v>
      </c>
      <c r="BS107">
        <v>8</v>
      </c>
      <c r="BT107">
        <v>0</v>
      </c>
      <c r="BU107">
        <v>0</v>
      </c>
      <c r="BV107">
        <v>0</v>
      </c>
      <c r="BW107">
        <v>0</v>
      </c>
      <c r="BX107">
        <v>1</v>
      </c>
      <c r="BY107">
        <v>2</v>
      </c>
      <c r="BZ107">
        <v>98</v>
      </c>
      <c r="CA107">
        <v>4</v>
      </c>
      <c r="CB107">
        <v>1</v>
      </c>
      <c r="CC107">
        <v>1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2</v>
      </c>
      <c r="CL107">
        <v>4</v>
      </c>
      <c r="CM107">
        <v>2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2</v>
      </c>
      <c r="CW107">
        <v>0</v>
      </c>
      <c r="CX107">
        <v>2</v>
      </c>
      <c r="CY107">
        <v>5</v>
      </c>
      <c r="CZ107">
        <v>3</v>
      </c>
      <c r="DA107">
        <v>1</v>
      </c>
      <c r="DB107">
        <v>1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5</v>
      </c>
      <c r="DK107">
        <v>37</v>
      </c>
      <c r="DL107">
        <v>23</v>
      </c>
      <c r="DM107">
        <v>9</v>
      </c>
      <c r="DN107">
        <v>0</v>
      </c>
      <c r="DO107">
        <v>0</v>
      </c>
      <c r="DP107">
        <v>2</v>
      </c>
      <c r="DQ107">
        <v>1</v>
      </c>
      <c r="DR107">
        <v>0</v>
      </c>
      <c r="DS107">
        <v>0</v>
      </c>
      <c r="DT107">
        <v>0</v>
      </c>
      <c r="DU107">
        <v>2</v>
      </c>
      <c r="DV107">
        <v>37</v>
      </c>
      <c r="DW107">
        <v>18</v>
      </c>
      <c r="DX107">
        <v>3</v>
      </c>
      <c r="DY107">
        <v>2</v>
      </c>
      <c r="DZ107">
        <v>0</v>
      </c>
      <c r="EA107">
        <v>8</v>
      </c>
      <c r="EB107">
        <v>1</v>
      </c>
      <c r="EC107">
        <v>0</v>
      </c>
      <c r="ED107">
        <v>0</v>
      </c>
      <c r="EE107">
        <v>4</v>
      </c>
      <c r="EF107">
        <v>0</v>
      </c>
      <c r="EG107">
        <v>0</v>
      </c>
      <c r="EH107">
        <v>18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1</v>
      </c>
      <c r="FF107">
        <v>0</v>
      </c>
      <c r="FG107">
        <v>0</v>
      </c>
      <c r="FH107">
        <v>0</v>
      </c>
      <c r="FI107">
        <v>1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1</v>
      </c>
    </row>
    <row r="108" spans="1:172" ht="14.25">
      <c r="A108">
        <v>103</v>
      </c>
      <c r="B108" t="str">
        <f t="shared" si="20"/>
        <v>100404</v>
      </c>
      <c r="C108" t="str">
        <f t="shared" si="21"/>
        <v>Grabów</v>
      </c>
      <c r="D108" t="str">
        <f t="shared" si="17"/>
        <v>Łęczycki</v>
      </c>
      <c r="E108" t="str">
        <f t="shared" si="12"/>
        <v>łódzkie</v>
      </c>
      <c r="F108">
        <v>7</v>
      </c>
      <c r="G108" t="str">
        <f>"Gimnazjum, ul. Jana Kochanowskiego 2, 99-150 Grabów"</f>
        <v>Gimnazjum, ul. Jana Kochanowskiego 2, 99-150 Grabów</v>
      </c>
      <c r="H108">
        <v>899</v>
      </c>
      <c r="I108">
        <v>899</v>
      </c>
      <c r="J108">
        <v>0</v>
      </c>
      <c r="K108">
        <v>631</v>
      </c>
      <c r="L108">
        <v>517</v>
      </c>
      <c r="M108">
        <v>114</v>
      </c>
      <c r="N108">
        <v>114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114</v>
      </c>
      <c r="Z108">
        <v>0</v>
      </c>
      <c r="AA108">
        <v>0</v>
      </c>
      <c r="AB108">
        <v>114</v>
      </c>
      <c r="AC108">
        <v>3</v>
      </c>
      <c r="AD108">
        <v>111</v>
      </c>
      <c r="AE108">
        <v>2</v>
      </c>
      <c r="AF108">
        <v>1</v>
      </c>
      <c r="AG108">
        <v>1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2</v>
      </c>
      <c r="AQ108">
        <v>4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4</v>
      </c>
      <c r="BA108">
        <v>0</v>
      </c>
      <c r="BB108">
        <v>4</v>
      </c>
      <c r="BC108">
        <v>2</v>
      </c>
      <c r="BD108">
        <v>2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2</v>
      </c>
      <c r="BO108">
        <v>85</v>
      </c>
      <c r="BP108">
        <v>72</v>
      </c>
      <c r="BQ108">
        <v>0</v>
      </c>
      <c r="BR108">
        <v>0</v>
      </c>
      <c r="BS108">
        <v>7</v>
      </c>
      <c r="BT108">
        <v>0</v>
      </c>
      <c r="BU108">
        <v>0</v>
      </c>
      <c r="BV108">
        <v>1</v>
      </c>
      <c r="BW108">
        <v>0</v>
      </c>
      <c r="BX108">
        <v>0</v>
      </c>
      <c r="BY108">
        <v>5</v>
      </c>
      <c r="BZ108">
        <v>85</v>
      </c>
      <c r="CA108">
        <v>2</v>
      </c>
      <c r="CB108">
        <v>0</v>
      </c>
      <c r="CC108">
        <v>0</v>
      </c>
      <c r="CD108">
        <v>0</v>
      </c>
      <c r="CE108">
        <v>2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2</v>
      </c>
      <c r="CM108">
        <v>3</v>
      </c>
      <c r="CN108">
        <v>0</v>
      </c>
      <c r="CO108">
        <v>1</v>
      </c>
      <c r="CP108">
        <v>0</v>
      </c>
      <c r="CQ108">
        <v>0</v>
      </c>
      <c r="CR108">
        <v>1</v>
      </c>
      <c r="CS108">
        <v>0</v>
      </c>
      <c r="CT108">
        <v>0</v>
      </c>
      <c r="CU108">
        <v>0</v>
      </c>
      <c r="CV108">
        <v>1</v>
      </c>
      <c r="CW108">
        <v>0</v>
      </c>
      <c r="CX108">
        <v>3</v>
      </c>
      <c r="CY108">
        <v>4</v>
      </c>
      <c r="CZ108">
        <v>3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1</v>
      </c>
      <c r="DH108">
        <v>0</v>
      </c>
      <c r="DI108">
        <v>0</v>
      </c>
      <c r="DJ108">
        <v>4</v>
      </c>
      <c r="DK108">
        <v>4</v>
      </c>
      <c r="DL108">
        <v>4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4</v>
      </c>
      <c r="DW108">
        <v>4</v>
      </c>
      <c r="DX108">
        <v>1</v>
      </c>
      <c r="DY108">
        <v>0</v>
      </c>
      <c r="DZ108">
        <v>0</v>
      </c>
      <c r="EA108">
        <v>2</v>
      </c>
      <c r="EB108">
        <v>1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4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1</v>
      </c>
      <c r="ET108">
        <v>1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1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</row>
    <row r="109" spans="1:172" ht="14.25">
      <c r="A109">
        <v>104</v>
      </c>
      <c r="B109" t="str">
        <f aca="true" t="shared" si="22" ref="B109:B117">"100405"</f>
        <v>100405</v>
      </c>
      <c r="C109" t="str">
        <f aca="true" t="shared" si="23" ref="C109:C117">"Łęczyca"</f>
        <v>Łęczyca</v>
      </c>
      <c r="D109" t="str">
        <f t="shared" si="17"/>
        <v>Łęczycki</v>
      </c>
      <c r="E109" t="str">
        <f t="shared" si="12"/>
        <v>łódzkie</v>
      </c>
      <c r="F109">
        <v>1</v>
      </c>
      <c r="G109" t="str">
        <f>"Gimnazjum, Topola Królewska 66, 99-100 Łęczyca"</f>
        <v>Gimnazjum, Topola Królewska 66, 99-100 Łęczyca</v>
      </c>
      <c r="H109">
        <v>1432</v>
      </c>
      <c r="I109">
        <v>1432</v>
      </c>
      <c r="J109">
        <v>0</v>
      </c>
      <c r="K109">
        <v>1000</v>
      </c>
      <c r="L109">
        <v>777</v>
      </c>
      <c r="M109">
        <v>223</v>
      </c>
      <c r="N109">
        <v>223</v>
      </c>
      <c r="O109">
        <v>0</v>
      </c>
      <c r="P109">
        <v>0</v>
      </c>
      <c r="Q109">
        <v>2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223</v>
      </c>
      <c r="Z109">
        <v>0</v>
      </c>
      <c r="AA109">
        <v>0</v>
      </c>
      <c r="AB109">
        <v>223</v>
      </c>
      <c r="AC109">
        <v>7</v>
      </c>
      <c r="AD109">
        <v>216</v>
      </c>
      <c r="AE109">
        <v>8</v>
      </c>
      <c r="AF109">
        <v>4</v>
      </c>
      <c r="AG109">
        <v>1</v>
      </c>
      <c r="AH109">
        <v>1</v>
      </c>
      <c r="AI109">
        <v>1</v>
      </c>
      <c r="AJ109">
        <v>0</v>
      </c>
      <c r="AK109">
        <v>0</v>
      </c>
      <c r="AL109">
        <v>1</v>
      </c>
      <c r="AM109">
        <v>0</v>
      </c>
      <c r="AN109">
        <v>0</v>
      </c>
      <c r="AO109">
        <v>0</v>
      </c>
      <c r="AP109">
        <v>8</v>
      </c>
      <c r="AQ109">
        <v>1</v>
      </c>
      <c r="AR109">
        <v>1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1</v>
      </c>
      <c r="BC109">
        <v>7</v>
      </c>
      <c r="BD109">
        <v>3</v>
      </c>
      <c r="BE109">
        <v>0</v>
      </c>
      <c r="BF109">
        <v>0</v>
      </c>
      <c r="BG109">
        <v>0</v>
      </c>
      <c r="BH109">
        <v>1</v>
      </c>
      <c r="BI109">
        <v>0</v>
      </c>
      <c r="BJ109">
        <v>0</v>
      </c>
      <c r="BK109">
        <v>0</v>
      </c>
      <c r="BL109">
        <v>0</v>
      </c>
      <c r="BM109">
        <v>3</v>
      </c>
      <c r="BN109">
        <v>7</v>
      </c>
      <c r="BO109">
        <v>121</v>
      </c>
      <c r="BP109">
        <v>99</v>
      </c>
      <c r="BQ109">
        <v>3</v>
      </c>
      <c r="BR109">
        <v>3</v>
      </c>
      <c r="BS109">
        <v>2</v>
      </c>
      <c r="BT109">
        <v>1</v>
      </c>
      <c r="BU109">
        <v>1</v>
      </c>
      <c r="BV109">
        <v>1</v>
      </c>
      <c r="BW109">
        <v>1</v>
      </c>
      <c r="BX109">
        <v>0</v>
      </c>
      <c r="BY109">
        <v>10</v>
      </c>
      <c r="BZ109">
        <v>121</v>
      </c>
      <c r="CA109">
        <v>8</v>
      </c>
      <c r="CB109">
        <v>1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1</v>
      </c>
      <c r="CJ109">
        <v>0</v>
      </c>
      <c r="CK109">
        <v>5</v>
      </c>
      <c r="CL109">
        <v>8</v>
      </c>
      <c r="CM109">
        <v>6</v>
      </c>
      <c r="CN109">
        <v>2</v>
      </c>
      <c r="CO109">
        <v>0</v>
      </c>
      <c r="CP109">
        <v>0</v>
      </c>
      <c r="CQ109">
        <v>0</v>
      </c>
      <c r="CR109">
        <v>0</v>
      </c>
      <c r="CS109">
        <v>1</v>
      </c>
      <c r="CT109">
        <v>0</v>
      </c>
      <c r="CU109">
        <v>0</v>
      </c>
      <c r="CV109">
        <v>3</v>
      </c>
      <c r="CW109">
        <v>0</v>
      </c>
      <c r="CX109">
        <v>6</v>
      </c>
      <c r="CY109">
        <v>13</v>
      </c>
      <c r="CZ109">
        <v>7</v>
      </c>
      <c r="DA109">
        <v>1</v>
      </c>
      <c r="DB109">
        <v>1</v>
      </c>
      <c r="DC109">
        <v>1</v>
      </c>
      <c r="DD109">
        <v>0</v>
      </c>
      <c r="DE109">
        <v>0</v>
      </c>
      <c r="DF109">
        <v>0</v>
      </c>
      <c r="DG109">
        <v>3</v>
      </c>
      <c r="DH109">
        <v>0</v>
      </c>
      <c r="DI109">
        <v>0</v>
      </c>
      <c r="DJ109">
        <v>13</v>
      </c>
      <c r="DK109">
        <v>19</v>
      </c>
      <c r="DL109">
        <v>10</v>
      </c>
      <c r="DM109">
        <v>6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1</v>
      </c>
      <c r="DT109">
        <v>2</v>
      </c>
      <c r="DU109">
        <v>0</v>
      </c>
      <c r="DV109">
        <v>19</v>
      </c>
      <c r="DW109">
        <v>29</v>
      </c>
      <c r="DX109">
        <v>12</v>
      </c>
      <c r="DY109">
        <v>1</v>
      </c>
      <c r="DZ109">
        <v>0</v>
      </c>
      <c r="EA109">
        <v>7</v>
      </c>
      <c r="EB109">
        <v>0</v>
      </c>
      <c r="EC109">
        <v>0</v>
      </c>
      <c r="ED109">
        <v>0</v>
      </c>
      <c r="EE109">
        <v>2</v>
      </c>
      <c r="EF109">
        <v>7</v>
      </c>
      <c r="EG109">
        <v>0</v>
      </c>
      <c r="EH109">
        <v>29</v>
      </c>
      <c r="EI109">
        <v>3</v>
      </c>
      <c r="EJ109">
        <v>1</v>
      </c>
      <c r="EK109">
        <v>2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3</v>
      </c>
      <c r="ES109">
        <v>1</v>
      </c>
      <c r="ET109">
        <v>0</v>
      </c>
      <c r="EU109">
        <v>0</v>
      </c>
      <c r="EV109">
        <v>1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1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</row>
    <row r="110" spans="1:172" ht="14.25">
      <c r="A110">
        <v>105</v>
      </c>
      <c r="B110" t="str">
        <f t="shared" si="22"/>
        <v>100405</v>
      </c>
      <c r="C110" t="str">
        <f t="shared" si="23"/>
        <v>Łęczyca</v>
      </c>
      <c r="D110" t="str">
        <f t="shared" si="17"/>
        <v>Łęczycki</v>
      </c>
      <c r="E110" t="str">
        <f t="shared" si="12"/>
        <v>łódzkie</v>
      </c>
      <c r="F110">
        <v>2</v>
      </c>
      <c r="G110" t="str">
        <f>"Szkoła Podstawowa, Siedlec 16a, 99-100 Łęczyca"</f>
        <v>Szkoła Podstawowa, Siedlec 16a, 99-100 Łęczyca</v>
      </c>
      <c r="H110">
        <v>890</v>
      </c>
      <c r="I110">
        <v>890</v>
      </c>
      <c r="J110">
        <v>0</v>
      </c>
      <c r="K110">
        <v>620</v>
      </c>
      <c r="L110">
        <v>432</v>
      </c>
      <c r="M110">
        <v>188</v>
      </c>
      <c r="N110">
        <v>188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188</v>
      </c>
      <c r="Z110">
        <v>0</v>
      </c>
      <c r="AA110">
        <v>0</v>
      </c>
      <c r="AB110">
        <v>188</v>
      </c>
      <c r="AC110">
        <v>9</v>
      </c>
      <c r="AD110">
        <v>179</v>
      </c>
      <c r="AE110">
        <v>12</v>
      </c>
      <c r="AF110">
        <v>2</v>
      </c>
      <c r="AG110">
        <v>0</v>
      </c>
      <c r="AH110">
        <v>4</v>
      </c>
      <c r="AI110">
        <v>0</v>
      </c>
      <c r="AJ110">
        <v>3</v>
      </c>
      <c r="AK110">
        <v>0</v>
      </c>
      <c r="AL110">
        <v>2</v>
      </c>
      <c r="AM110">
        <v>0</v>
      </c>
      <c r="AN110">
        <v>1</v>
      </c>
      <c r="AO110">
        <v>0</v>
      </c>
      <c r="AP110">
        <v>12</v>
      </c>
      <c r="AQ110">
        <v>2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0</v>
      </c>
      <c r="AX110">
        <v>0</v>
      </c>
      <c r="AY110">
        <v>0</v>
      </c>
      <c r="AZ110">
        <v>0</v>
      </c>
      <c r="BA110">
        <v>1</v>
      </c>
      <c r="BB110">
        <v>2</v>
      </c>
      <c r="BC110">
        <v>8</v>
      </c>
      <c r="BD110">
        <v>0</v>
      </c>
      <c r="BE110">
        <v>4</v>
      </c>
      <c r="BF110">
        <v>0</v>
      </c>
      <c r="BG110">
        <v>0</v>
      </c>
      <c r="BH110">
        <v>0</v>
      </c>
      <c r="BI110">
        <v>2</v>
      </c>
      <c r="BJ110">
        <v>0</v>
      </c>
      <c r="BK110">
        <v>0</v>
      </c>
      <c r="BL110">
        <v>1</v>
      </c>
      <c r="BM110">
        <v>1</v>
      </c>
      <c r="BN110">
        <v>8</v>
      </c>
      <c r="BO110">
        <v>93</v>
      </c>
      <c r="BP110">
        <v>77</v>
      </c>
      <c r="BQ110">
        <v>2</v>
      </c>
      <c r="BR110">
        <v>0</v>
      </c>
      <c r="BS110">
        <v>3</v>
      </c>
      <c r="BT110">
        <v>0</v>
      </c>
      <c r="BU110">
        <v>0</v>
      </c>
      <c r="BV110">
        <v>1</v>
      </c>
      <c r="BW110">
        <v>0</v>
      </c>
      <c r="BX110">
        <v>4</v>
      </c>
      <c r="BY110">
        <v>6</v>
      </c>
      <c r="BZ110">
        <v>93</v>
      </c>
      <c r="CA110">
        <v>6</v>
      </c>
      <c r="CB110">
        <v>2</v>
      </c>
      <c r="CC110">
        <v>0</v>
      </c>
      <c r="CD110">
        <v>1</v>
      </c>
      <c r="CE110">
        <v>1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2</v>
      </c>
      <c r="CL110">
        <v>6</v>
      </c>
      <c r="CM110">
        <v>7</v>
      </c>
      <c r="CN110">
        <v>4</v>
      </c>
      <c r="CO110">
        <v>1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2</v>
      </c>
      <c r="CW110">
        <v>0</v>
      </c>
      <c r="CX110">
        <v>7</v>
      </c>
      <c r="CY110">
        <v>4</v>
      </c>
      <c r="CZ110">
        <v>3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1</v>
      </c>
      <c r="DI110">
        <v>0</v>
      </c>
      <c r="DJ110">
        <v>4</v>
      </c>
      <c r="DK110">
        <v>18</v>
      </c>
      <c r="DL110">
        <v>11</v>
      </c>
      <c r="DM110">
        <v>4</v>
      </c>
      <c r="DN110">
        <v>0</v>
      </c>
      <c r="DO110">
        <v>0</v>
      </c>
      <c r="DP110">
        <v>1</v>
      </c>
      <c r="DQ110">
        <v>0</v>
      </c>
      <c r="DR110">
        <v>1</v>
      </c>
      <c r="DS110">
        <v>0</v>
      </c>
      <c r="DT110">
        <v>0</v>
      </c>
      <c r="DU110">
        <v>1</v>
      </c>
      <c r="DV110">
        <v>18</v>
      </c>
      <c r="DW110">
        <v>27</v>
      </c>
      <c r="DX110">
        <v>8</v>
      </c>
      <c r="DY110">
        <v>7</v>
      </c>
      <c r="DZ110">
        <v>0</v>
      </c>
      <c r="EA110">
        <v>4</v>
      </c>
      <c r="EB110">
        <v>1</v>
      </c>
      <c r="EC110">
        <v>2</v>
      </c>
      <c r="ED110">
        <v>3</v>
      </c>
      <c r="EE110">
        <v>1</v>
      </c>
      <c r="EF110">
        <v>0</v>
      </c>
      <c r="EG110">
        <v>1</v>
      </c>
      <c r="EH110">
        <v>27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2</v>
      </c>
      <c r="ET110">
        <v>0</v>
      </c>
      <c r="EU110">
        <v>0</v>
      </c>
      <c r="EV110">
        <v>2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2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</row>
    <row r="111" spans="1:172" ht="14.25">
      <c r="A111">
        <v>106</v>
      </c>
      <c r="B111" t="str">
        <f t="shared" si="22"/>
        <v>100405</v>
      </c>
      <c r="C111" t="str">
        <f t="shared" si="23"/>
        <v>Łęczyca</v>
      </c>
      <c r="D111" t="str">
        <f t="shared" si="17"/>
        <v>Łęczycki</v>
      </c>
      <c r="E111" t="str">
        <f t="shared" si="12"/>
        <v>łódzkie</v>
      </c>
      <c r="F111">
        <v>3</v>
      </c>
      <c r="G111" t="str">
        <f>"Szkoła Podstawowa, Błonie 33a, 99-100 Łęczyca"</f>
        <v>Szkoła Podstawowa, Błonie 33a, 99-100 Łęczyca</v>
      </c>
      <c r="H111">
        <v>944</v>
      </c>
      <c r="I111">
        <v>944</v>
      </c>
      <c r="J111">
        <v>0</v>
      </c>
      <c r="K111">
        <v>670</v>
      </c>
      <c r="L111">
        <v>560</v>
      </c>
      <c r="M111">
        <v>110</v>
      </c>
      <c r="N111">
        <v>110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110</v>
      </c>
      <c r="Z111">
        <v>0</v>
      </c>
      <c r="AA111">
        <v>0</v>
      </c>
      <c r="AB111">
        <v>110</v>
      </c>
      <c r="AC111">
        <v>5</v>
      </c>
      <c r="AD111">
        <v>105</v>
      </c>
      <c r="AE111">
        <v>3</v>
      </c>
      <c r="AF111">
        <v>2</v>
      </c>
      <c r="AG111">
        <v>1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3</v>
      </c>
      <c r="AQ111">
        <v>2</v>
      </c>
      <c r="AR111">
        <v>1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1</v>
      </c>
      <c r="BB111">
        <v>2</v>
      </c>
      <c r="BC111">
        <v>3</v>
      </c>
      <c r="BD111">
        <v>1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1</v>
      </c>
      <c r="BL111">
        <v>0</v>
      </c>
      <c r="BM111">
        <v>1</v>
      </c>
      <c r="BN111">
        <v>3</v>
      </c>
      <c r="BO111">
        <v>43</v>
      </c>
      <c r="BP111">
        <v>37</v>
      </c>
      <c r="BQ111">
        <v>0</v>
      </c>
      <c r="BR111">
        <v>0</v>
      </c>
      <c r="BS111">
        <v>1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5</v>
      </c>
      <c r="BZ111">
        <v>43</v>
      </c>
      <c r="CA111">
        <v>2</v>
      </c>
      <c r="CB111">
        <v>0</v>
      </c>
      <c r="CC111">
        <v>0</v>
      </c>
      <c r="CD111">
        <v>0</v>
      </c>
      <c r="CE111">
        <v>1</v>
      </c>
      <c r="CF111">
        <v>0</v>
      </c>
      <c r="CG111">
        <v>0</v>
      </c>
      <c r="CH111">
        <v>1</v>
      </c>
      <c r="CI111">
        <v>0</v>
      </c>
      <c r="CJ111">
        <v>0</v>
      </c>
      <c r="CK111">
        <v>0</v>
      </c>
      <c r="CL111">
        <v>2</v>
      </c>
      <c r="CM111">
        <v>1</v>
      </c>
      <c r="CN111">
        <v>0</v>
      </c>
      <c r="CO111">
        <v>0</v>
      </c>
      <c r="CP111">
        <v>0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1</v>
      </c>
      <c r="CY111">
        <v>14</v>
      </c>
      <c r="CZ111">
        <v>11</v>
      </c>
      <c r="DA111">
        <v>1</v>
      </c>
      <c r="DB111">
        <v>0</v>
      </c>
      <c r="DC111">
        <v>0</v>
      </c>
      <c r="DD111">
        <v>0</v>
      </c>
      <c r="DE111">
        <v>2</v>
      </c>
      <c r="DF111">
        <v>0</v>
      </c>
      <c r="DG111">
        <v>0</v>
      </c>
      <c r="DH111">
        <v>0</v>
      </c>
      <c r="DI111">
        <v>0</v>
      </c>
      <c r="DJ111">
        <v>14</v>
      </c>
      <c r="DK111">
        <v>13</v>
      </c>
      <c r="DL111">
        <v>11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2</v>
      </c>
      <c r="DS111">
        <v>0</v>
      </c>
      <c r="DT111">
        <v>0</v>
      </c>
      <c r="DU111">
        <v>0</v>
      </c>
      <c r="DV111">
        <v>13</v>
      </c>
      <c r="DW111">
        <v>21</v>
      </c>
      <c r="DX111">
        <v>4</v>
      </c>
      <c r="DY111">
        <v>8</v>
      </c>
      <c r="DZ111">
        <v>1</v>
      </c>
      <c r="EA111">
        <v>0</v>
      </c>
      <c r="EB111">
        <v>2</v>
      </c>
      <c r="EC111">
        <v>0</v>
      </c>
      <c r="ED111">
        <v>0</v>
      </c>
      <c r="EE111">
        <v>1</v>
      </c>
      <c r="EF111">
        <v>3</v>
      </c>
      <c r="EG111">
        <v>2</v>
      </c>
      <c r="EH111">
        <v>21</v>
      </c>
      <c r="EI111">
        <v>2</v>
      </c>
      <c r="EJ111">
        <v>0</v>
      </c>
      <c r="EK111">
        <v>1</v>
      </c>
      <c r="EL111">
        <v>0</v>
      </c>
      <c r="EM111">
        <v>1</v>
      </c>
      <c r="EN111">
        <v>0</v>
      </c>
      <c r="EO111">
        <v>0</v>
      </c>
      <c r="EP111">
        <v>0</v>
      </c>
      <c r="EQ111">
        <v>0</v>
      </c>
      <c r="ER111">
        <v>2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1</v>
      </c>
      <c r="FF111">
        <v>0</v>
      </c>
      <c r="FG111">
        <v>0</v>
      </c>
      <c r="FH111">
        <v>0</v>
      </c>
      <c r="FI111">
        <v>1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1</v>
      </c>
    </row>
    <row r="112" spans="1:172" ht="14.25">
      <c r="A112">
        <v>107</v>
      </c>
      <c r="B112" t="str">
        <f t="shared" si="22"/>
        <v>100405</v>
      </c>
      <c r="C112" t="str">
        <f t="shared" si="23"/>
        <v>Łęczyca</v>
      </c>
      <c r="D112" t="str">
        <f t="shared" si="17"/>
        <v>Łęczycki</v>
      </c>
      <c r="E112" t="str">
        <f t="shared" si="12"/>
        <v>łódzkie</v>
      </c>
      <c r="F112">
        <v>4</v>
      </c>
      <c r="G112" t="str">
        <f>"Szkoła Podstawowa, Leźnica Mała 36, 99-100 Łęczyca"</f>
        <v>Szkoła Podstawowa, Leźnica Mała 36, 99-100 Łęczyca</v>
      </c>
      <c r="H112">
        <v>962</v>
      </c>
      <c r="I112">
        <v>962</v>
      </c>
      <c r="J112">
        <v>0</v>
      </c>
      <c r="K112">
        <v>671</v>
      </c>
      <c r="L112">
        <v>544</v>
      </c>
      <c r="M112">
        <v>127</v>
      </c>
      <c r="N112">
        <v>127</v>
      </c>
      <c r="O112">
        <v>0</v>
      </c>
      <c r="P112">
        <v>0</v>
      </c>
      <c r="Q112">
        <v>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127</v>
      </c>
      <c r="Z112">
        <v>0</v>
      </c>
      <c r="AA112">
        <v>0</v>
      </c>
      <c r="AB112">
        <v>127</v>
      </c>
      <c r="AC112">
        <v>7</v>
      </c>
      <c r="AD112">
        <v>120</v>
      </c>
      <c r="AE112">
        <v>6</v>
      </c>
      <c r="AF112">
        <v>2</v>
      </c>
      <c r="AG112">
        <v>0</v>
      </c>
      <c r="AH112">
        <v>0</v>
      </c>
      <c r="AI112">
        <v>1</v>
      </c>
      <c r="AJ112">
        <v>0</v>
      </c>
      <c r="AK112">
        <v>0</v>
      </c>
      <c r="AL112">
        <v>3</v>
      </c>
      <c r="AM112">
        <v>0</v>
      </c>
      <c r="AN112">
        <v>0</v>
      </c>
      <c r="AO112">
        <v>0</v>
      </c>
      <c r="AP112">
        <v>6</v>
      </c>
      <c r="AQ112">
        <v>2</v>
      </c>
      <c r="AR112">
        <v>1</v>
      </c>
      <c r="AS112">
        <v>0</v>
      </c>
      <c r="AT112">
        <v>0</v>
      </c>
      <c r="AU112">
        <v>0</v>
      </c>
      <c r="AV112">
        <v>1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2</v>
      </c>
      <c r="BC112">
        <v>5</v>
      </c>
      <c r="BD112">
        <v>0</v>
      </c>
      <c r="BE112">
        <v>1</v>
      </c>
      <c r="BF112">
        <v>0</v>
      </c>
      <c r="BG112">
        <v>0</v>
      </c>
      <c r="BH112">
        <v>2</v>
      </c>
      <c r="BI112">
        <v>0</v>
      </c>
      <c r="BJ112">
        <v>0</v>
      </c>
      <c r="BK112">
        <v>0</v>
      </c>
      <c r="BL112">
        <v>0</v>
      </c>
      <c r="BM112">
        <v>2</v>
      </c>
      <c r="BN112">
        <v>5</v>
      </c>
      <c r="BO112">
        <v>74</v>
      </c>
      <c r="BP112">
        <v>57</v>
      </c>
      <c r="BQ112">
        <v>2</v>
      </c>
      <c r="BR112">
        <v>3</v>
      </c>
      <c r="BS112">
        <v>1</v>
      </c>
      <c r="BT112">
        <v>1</v>
      </c>
      <c r="BU112">
        <v>0</v>
      </c>
      <c r="BV112">
        <v>0</v>
      </c>
      <c r="BW112">
        <v>0</v>
      </c>
      <c r="BX112">
        <v>2</v>
      </c>
      <c r="BY112">
        <v>8</v>
      </c>
      <c r="BZ112">
        <v>74</v>
      </c>
      <c r="CA112">
        <v>2</v>
      </c>
      <c r="CB112">
        <v>1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1</v>
      </c>
      <c r="CK112">
        <v>0</v>
      </c>
      <c r="CL112">
        <v>2</v>
      </c>
      <c r="CM112">
        <v>6</v>
      </c>
      <c r="CN112">
        <v>2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1</v>
      </c>
      <c r="CV112">
        <v>3</v>
      </c>
      <c r="CW112">
        <v>0</v>
      </c>
      <c r="CX112">
        <v>6</v>
      </c>
      <c r="CY112">
        <v>4</v>
      </c>
      <c r="CZ112">
        <v>0</v>
      </c>
      <c r="DA112">
        <v>0</v>
      </c>
      <c r="DB112">
        <v>0</v>
      </c>
      <c r="DC112">
        <v>1</v>
      </c>
      <c r="DD112">
        <v>3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4</v>
      </c>
      <c r="DK112">
        <v>12</v>
      </c>
      <c r="DL112">
        <v>4</v>
      </c>
      <c r="DM112">
        <v>6</v>
      </c>
      <c r="DN112">
        <v>0</v>
      </c>
      <c r="DO112">
        <v>1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1</v>
      </c>
      <c r="DV112">
        <v>12</v>
      </c>
      <c r="DW112">
        <v>6</v>
      </c>
      <c r="DX112">
        <v>4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1</v>
      </c>
      <c r="EF112">
        <v>1</v>
      </c>
      <c r="EG112">
        <v>0</v>
      </c>
      <c r="EH112">
        <v>6</v>
      </c>
      <c r="EI112">
        <v>2</v>
      </c>
      <c r="EJ112">
        <v>0</v>
      </c>
      <c r="EK112">
        <v>1</v>
      </c>
      <c r="EL112">
        <v>0</v>
      </c>
      <c r="EM112">
        <v>0</v>
      </c>
      <c r="EN112">
        <v>0</v>
      </c>
      <c r="EO112">
        <v>0</v>
      </c>
      <c r="EP112">
        <v>1</v>
      </c>
      <c r="EQ112">
        <v>0</v>
      </c>
      <c r="ER112">
        <v>2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1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1</v>
      </c>
      <c r="FL112">
        <v>0</v>
      </c>
      <c r="FM112">
        <v>0</v>
      </c>
      <c r="FN112">
        <v>0</v>
      </c>
      <c r="FO112">
        <v>0</v>
      </c>
      <c r="FP112">
        <v>1</v>
      </c>
    </row>
    <row r="113" spans="1:172" ht="14.25">
      <c r="A113">
        <v>108</v>
      </c>
      <c r="B113" t="str">
        <f t="shared" si="22"/>
        <v>100405</v>
      </c>
      <c r="C113" t="str">
        <f t="shared" si="23"/>
        <v>Łęczyca</v>
      </c>
      <c r="D113" t="str">
        <f t="shared" si="17"/>
        <v>Łęczycki</v>
      </c>
      <c r="E113" t="str">
        <f t="shared" si="12"/>
        <v>łódzkie</v>
      </c>
      <c r="F113">
        <v>5</v>
      </c>
      <c r="G113" t="str">
        <f>"Budynek po byłej szkole podstawowej, Janków 8, 99-100 Łęczyca"</f>
        <v>Budynek po byłej szkole podstawowej, Janków 8, 99-100 Łęczyca</v>
      </c>
      <c r="H113">
        <v>427</v>
      </c>
      <c r="I113">
        <v>427</v>
      </c>
      <c r="J113">
        <v>0</v>
      </c>
      <c r="K113">
        <v>300</v>
      </c>
      <c r="L113">
        <v>262</v>
      </c>
      <c r="M113">
        <v>38</v>
      </c>
      <c r="N113">
        <v>38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38</v>
      </c>
      <c r="Z113">
        <v>0</v>
      </c>
      <c r="AA113">
        <v>0</v>
      </c>
      <c r="AB113">
        <v>38</v>
      </c>
      <c r="AC113">
        <v>3</v>
      </c>
      <c r="AD113">
        <v>35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1</v>
      </c>
      <c r="AR113">
        <v>1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1</v>
      </c>
      <c r="BC113">
        <v>3</v>
      </c>
      <c r="BD113">
        <v>1</v>
      </c>
      <c r="BE113">
        <v>2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3</v>
      </c>
      <c r="BO113">
        <v>17</v>
      </c>
      <c r="BP113">
        <v>13</v>
      </c>
      <c r="BQ113">
        <v>0</v>
      </c>
      <c r="BR113">
        <v>1</v>
      </c>
      <c r="BS113">
        <v>3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17</v>
      </c>
      <c r="CA113">
        <v>2</v>
      </c>
      <c r="CB113">
        <v>1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1</v>
      </c>
      <c r="CL113">
        <v>2</v>
      </c>
      <c r="CM113">
        <v>1</v>
      </c>
      <c r="CN113">
        <v>1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1</v>
      </c>
      <c r="CZ113">
        <v>0</v>
      </c>
      <c r="DA113">
        <v>0</v>
      </c>
      <c r="DB113">
        <v>0</v>
      </c>
      <c r="DC113">
        <v>1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1</v>
      </c>
      <c r="DK113">
        <v>7</v>
      </c>
      <c r="DL113">
        <v>3</v>
      </c>
      <c r="DM113">
        <v>3</v>
      </c>
      <c r="DN113">
        <v>0</v>
      </c>
      <c r="DO113">
        <v>0</v>
      </c>
      <c r="DP113">
        <v>1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7</v>
      </c>
      <c r="DW113">
        <v>1</v>
      </c>
      <c r="DX113">
        <v>1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1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1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1</v>
      </c>
      <c r="FD113">
        <v>1</v>
      </c>
      <c r="FE113">
        <v>1</v>
      </c>
      <c r="FF113">
        <v>1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1</v>
      </c>
    </row>
    <row r="114" spans="1:172" ht="14.25">
      <c r="A114">
        <v>109</v>
      </c>
      <c r="B114" t="str">
        <f t="shared" si="22"/>
        <v>100405</v>
      </c>
      <c r="C114" t="str">
        <f t="shared" si="23"/>
        <v>Łęczyca</v>
      </c>
      <c r="D114" t="str">
        <f aca="true" t="shared" si="24" ref="D114:D130">"Łęczycki"</f>
        <v>Łęczycki</v>
      </c>
      <c r="E114" t="str">
        <f t="shared" si="12"/>
        <v>łódzkie</v>
      </c>
      <c r="F114">
        <v>6</v>
      </c>
      <c r="G114" t="str">
        <f>"Szkoła Podstawowa, Wilczkowice Średnie 1, 99-100 Łęczyca"</f>
        <v>Szkoła Podstawowa, Wilczkowice Średnie 1, 99-100 Łęczyca</v>
      </c>
      <c r="H114">
        <v>955</v>
      </c>
      <c r="I114">
        <v>955</v>
      </c>
      <c r="J114">
        <v>0</v>
      </c>
      <c r="K114">
        <v>670</v>
      </c>
      <c r="L114">
        <v>478</v>
      </c>
      <c r="M114">
        <v>192</v>
      </c>
      <c r="N114">
        <v>192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192</v>
      </c>
      <c r="Z114">
        <v>0</v>
      </c>
      <c r="AA114">
        <v>0</v>
      </c>
      <c r="AB114">
        <v>192</v>
      </c>
      <c r="AC114">
        <v>2</v>
      </c>
      <c r="AD114">
        <v>190</v>
      </c>
      <c r="AE114">
        <v>13</v>
      </c>
      <c r="AF114">
        <v>5</v>
      </c>
      <c r="AG114">
        <v>3</v>
      </c>
      <c r="AH114">
        <v>5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13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8</v>
      </c>
      <c r="BD114">
        <v>8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8</v>
      </c>
      <c r="BO114">
        <v>98</v>
      </c>
      <c r="BP114">
        <v>79</v>
      </c>
      <c r="BQ114">
        <v>6</v>
      </c>
      <c r="BR114">
        <v>2</v>
      </c>
      <c r="BS114">
        <v>7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4</v>
      </c>
      <c r="BZ114">
        <v>98</v>
      </c>
      <c r="CA114">
        <v>8</v>
      </c>
      <c r="CB114">
        <v>1</v>
      </c>
      <c r="CC114">
        <v>0</v>
      </c>
      <c r="CD114">
        <v>1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1</v>
      </c>
      <c r="CK114">
        <v>5</v>
      </c>
      <c r="CL114">
        <v>8</v>
      </c>
      <c r="CM114">
        <v>3</v>
      </c>
      <c r="CN114">
        <v>2</v>
      </c>
      <c r="CO114">
        <v>0</v>
      </c>
      <c r="CP114">
        <v>0</v>
      </c>
      <c r="CQ114">
        <v>1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3</v>
      </c>
      <c r="CY114">
        <v>8</v>
      </c>
      <c r="CZ114">
        <v>3</v>
      </c>
      <c r="DA114">
        <v>0</v>
      </c>
      <c r="DB114">
        <v>0</v>
      </c>
      <c r="DC114">
        <v>0</v>
      </c>
      <c r="DD114">
        <v>1</v>
      </c>
      <c r="DE114">
        <v>1</v>
      </c>
      <c r="DF114">
        <v>0</v>
      </c>
      <c r="DG114">
        <v>1</v>
      </c>
      <c r="DH114">
        <v>1</v>
      </c>
      <c r="DI114">
        <v>1</v>
      </c>
      <c r="DJ114">
        <v>8</v>
      </c>
      <c r="DK114">
        <v>25</v>
      </c>
      <c r="DL114">
        <v>15</v>
      </c>
      <c r="DM114">
        <v>6</v>
      </c>
      <c r="DN114">
        <v>0</v>
      </c>
      <c r="DO114">
        <v>0</v>
      </c>
      <c r="DP114">
        <v>1</v>
      </c>
      <c r="DQ114">
        <v>1</v>
      </c>
      <c r="DR114">
        <v>0</v>
      </c>
      <c r="DS114">
        <v>1</v>
      </c>
      <c r="DT114">
        <v>1</v>
      </c>
      <c r="DU114">
        <v>0</v>
      </c>
      <c r="DV114">
        <v>25</v>
      </c>
      <c r="DW114">
        <v>23</v>
      </c>
      <c r="DX114">
        <v>7</v>
      </c>
      <c r="DY114">
        <v>0</v>
      </c>
      <c r="DZ114">
        <v>1</v>
      </c>
      <c r="EA114">
        <v>5</v>
      </c>
      <c r="EB114">
        <v>1</v>
      </c>
      <c r="EC114">
        <v>0</v>
      </c>
      <c r="ED114">
        <v>2</v>
      </c>
      <c r="EE114">
        <v>0</v>
      </c>
      <c r="EF114">
        <v>7</v>
      </c>
      <c r="EG114">
        <v>0</v>
      </c>
      <c r="EH114">
        <v>23</v>
      </c>
      <c r="EI114">
        <v>1</v>
      </c>
      <c r="EJ114">
        <v>0</v>
      </c>
      <c r="EK114">
        <v>1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1</v>
      </c>
      <c r="ES114">
        <v>3</v>
      </c>
      <c r="ET114">
        <v>0</v>
      </c>
      <c r="EU114">
        <v>3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3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</row>
    <row r="115" spans="1:172" ht="14.25">
      <c r="A115">
        <v>110</v>
      </c>
      <c r="B115" t="str">
        <f t="shared" si="22"/>
        <v>100405</v>
      </c>
      <c r="C115" t="str">
        <f t="shared" si="23"/>
        <v>Łęczyca</v>
      </c>
      <c r="D115" t="str">
        <f t="shared" si="24"/>
        <v>Łęczycki</v>
      </c>
      <c r="E115" t="str">
        <f t="shared" si="12"/>
        <v>łódzkie</v>
      </c>
      <c r="F115">
        <v>7</v>
      </c>
      <c r="G115" t="str">
        <f>"Remiza Ochotniczej Straży Pożarnej, Topola Katowa 21, 99-100 Łęczyca"</f>
        <v>Remiza Ochotniczej Straży Pożarnej, Topola Katowa 21, 99-100 Łęczyca</v>
      </c>
      <c r="H115">
        <v>417</v>
      </c>
      <c r="I115">
        <v>417</v>
      </c>
      <c r="J115">
        <v>0</v>
      </c>
      <c r="K115">
        <v>290</v>
      </c>
      <c r="L115">
        <v>220</v>
      </c>
      <c r="M115">
        <v>70</v>
      </c>
      <c r="N115">
        <v>70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70</v>
      </c>
      <c r="Z115">
        <v>0</v>
      </c>
      <c r="AA115">
        <v>0</v>
      </c>
      <c r="AB115">
        <v>70</v>
      </c>
      <c r="AC115">
        <v>2</v>
      </c>
      <c r="AD115">
        <v>68</v>
      </c>
      <c r="AE115">
        <v>5</v>
      </c>
      <c r="AF115">
        <v>5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5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34</v>
      </c>
      <c r="BP115">
        <v>30</v>
      </c>
      <c r="BQ115">
        <v>1</v>
      </c>
      <c r="BR115">
        <v>0</v>
      </c>
      <c r="BS115">
        <v>1</v>
      </c>
      <c r="BT115">
        <v>0</v>
      </c>
      <c r="BU115">
        <v>0</v>
      </c>
      <c r="BV115">
        <v>0</v>
      </c>
      <c r="BW115">
        <v>1</v>
      </c>
      <c r="BX115">
        <v>0</v>
      </c>
      <c r="BY115">
        <v>1</v>
      </c>
      <c r="BZ115">
        <v>34</v>
      </c>
      <c r="CA115">
        <v>2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2</v>
      </c>
      <c r="CL115">
        <v>2</v>
      </c>
      <c r="CM115">
        <v>1</v>
      </c>
      <c r="CN115">
        <v>1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1</v>
      </c>
      <c r="CY115">
        <v>6</v>
      </c>
      <c r="CZ115">
        <v>4</v>
      </c>
      <c r="DA115">
        <v>2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6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18</v>
      </c>
      <c r="DX115">
        <v>9</v>
      </c>
      <c r="DY115">
        <v>2</v>
      </c>
      <c r="DZ115">
        <v>1</v>
      </c>
      <c r="EA115">
        <v>0</v>
      </c>
      <c r="EB115">
        <v>0</v>
      </c>
      <c r="EC115">
        <v>0</v>
      </c>
      <c r="ED115">
        <v>1</v>
      </c>
      <c r="EE115">
        <v>1</v>
      </c>
      <c r="EF115">
        <v>4</v>
      </c>
      <c r="EG115">
        <v>0</v>
      </c>
      <c r="EH115">
        <v>18</v>
      </c>
      <c r="EI115">
        <v>2</v>
      </c>
      <c r="EJ115">
        <v>1</v>
      </c>
      <c r="EK115">
        <v>1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2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</row>
    <row r="116" spans="1:172" ht="14.25">
      <c r="A116">
        <v>111</v>
      </c>
      <c r="B116" t="str">
        <f t="shared" si="22"/>
        <v>100405</v>
      </c>
      <c r="C116" t="str">
        <f t="shared" si="23"/>
        <v>Łęczyca</v>
      </c>
      <c r="D116" t="str">
        <f t="shared" si="24"/>
        <v>Łęczycki</v>
      </c>
      <c r="E116" t="str">
        <f t="shared" si="12"/>
        <v>łódzkie</v>
      </c>
      <c r="F116">
        <v>8</v>
      </c>
      <c r="G116" t="str">
        <f>"Remiza Ochotniczej Straży Pożarnej, Lubień 20a, 99-100 Łęczyca"</f>
        <v>Remiza Ochotniczej Straży Pożarnej, Lubień 20a, 99-100 Łęczyca</v>
      </c>
      <c r="H116">
        <v>991</v>
      </c>
      <c r="I116">
        <v>991</v>
      </c>
      <c r="J116">
        <v>0</v>
      </c>
      <c r="K116">
        <v>690</v>
      </c>
      <c r="L116">
        <v>516</v>
      </c>
      <c r="M116">
        <v>174</v>
      </c>
      <c r="N116">
        <v>174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174</v>
      </c>
      <c r="Z116">
        <v>0</v>
      </c>
      <c r="AA116">
        <v>0</v>
      </c>
      <c r="AB116">
        <v>174</v>
      </c>
      <c r="AC116">
        <v>6</v>
      </c>
      <c r="AD116">
        <v>168</v>
      </c>
      <c r="AE116">
        <v>6</v>
      </c>
      <c r="AF116">
        <v>3</v>
      </c>
      <c r="AG116">
        <v>0</v>
      </c>
      <c r="AH116">
        <v>0</v>
      </c>
      <c r="AI116">
        <v>2</v>
      </c>
      <c r="AJ116">
        <v>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6</v>
      </c>
      <c r="AQ116">
        <v>2</v>
      </c>
      <c r="AR116">
        <v>1</v>
      </c>
      <c r="AS116">
        <v>0</v>
      </c>
      <c r="AT116">
        <v>0</v>
      </c>
      <c r="AU116">
        <v>1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2</v>
      </c>
      <c r="BC116">
        <v>7</v>
      </c>
      <c r="BD116">
        <v>5</v>
      </c>
      <c r="BE116">
        <v>1</v>
      </c>
      <c r="BF116">
        <v>0</v>
      </c>
      <c r="BG116">
        <v>0</v>
      </c>
      <c r="BH116">
        <v>0</v>
      </c>
      <c r="BI116">
        <v>0</v>
      </c>
      <c r="BJ116">
        <v>1</v>
      </c>
      <c r="BK116">
        <v>0</v>
      </c>
      <c r="BL116">
        <v>0</v>
      </c>
      <c r="BM116">
        <v>0</v>
      </c>
      <c r="BN116">
        <v>7</v>
      </c>
      <c r="BO116">
        <v>100</v>
      </c>
      <c r="BP116">
        <v>82</v>
      </c>
      <c r="BQ116">
        <v>5</v>
      </c>
      <c r="BR116">
        <v>6</v>
      </c>
      <c r="BS116">
        <v>1</v>
      </c>
      <c r="BT116">
        <v>1</v>
      </c>
      <c r="BU116">
        <v>3</v>
      </c>
      <c r="BV116">
        <v>1</v>
      </c>
      <c r="BW116">
        <v>0</v>
      </c>
      <c r="BX116">
        <v>0</v>
      </c>
      <c r="BY116">
        <v>1</v>
      </c>
      <c r="BZ116">
        <v>100</v>
      </c>
      <c r="CA116">
        <v>2</v>
      </c>
      <c r="CB116">
        <v>0</v>
      </c>
      <c r="CC116">
        <v>0</v>
      </c>
      <c r="CD116">
        <v>0</v>
      </c>
      <c r="CE116">
        <v>0</v>
      </c>
      <c r="CF116">
        <v>1</v>
      </c>
      <c r="CG116">
        <v>0</v>
      </c>
      <c r="CH116">
        <v>0</v>
      </c>
      <c r="CI116">
        <v>0</v>
      </c>
      <c r="CJ116">
        <v>0</v>
      </c>
      <c r="CK116">
        <v>1</v>
      </c>
      <c r="CL116">
        <v>2</v>
      </c>
      <c r="CM116">
        <v>4</v>
      </c>
      <c r="CN116">
        <v>3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1</v>
      </c>
      <c r="CW116">
        <v>0</v>
      </c>
      <c r="CX116">
        <v>4</v>
      </c>
      <c r="CY116">
        <v>7</v>
      </c>
      <c r="CZ116">
        <v>6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1</v>
      </c>
      <c r="DG116">
        <v>0</v>
      </c>
      <c r="DH116">
        <v>0</v>
      </c>
      <c r="DI116">
        <v>0</v>
      </c>
      <c r="DJ116">
        <v>7</v>
      </c>
      <c r="DK116">
        <v>29</v>
      </c>
      <c r="DL116">
        <v>14</v>
      </c>
      <c r="DM116">
        <v>7</v>
      </c>
      <c r="DN116">
        <v>0</v>
      </c>
      <c r="DO116">
        <v>4</v>
      </c>
      <c r="DP116">
        <v>0</v>
      </c>
      <c r="DQ116">
        <v>0</v>
      </c>
      <c r="DR116">
        <v>0</v>
      </c>
      <c r="DS116">
        <v>3</v>
      </c>
      <c r="DT116">
        <v>0</v>
      </c>
      <c r="DU116">
        <v>1</v>
      </c>
      <c r="DV116">
        <v>29</v>
      </c>
      <c r="DW116">
        <v>9</v>
      </c>
      <c r="DX116">
        <v>1</v>
      </c>
      <c r="DY116">
        <v>0</v>
      </c>
      <c r="DZ116">
        <v>0</v>
      </c>
      <c r="EA116">
        <v>2</v>
      </c>
      <c r="EB116">
        <v>0</v>
      </c>
      <c r="EC116">
        <v>0</v>
      </c>
      <c r="ED116">
        <v>0</v>
      </c>
      <c r="EE116">
        <v>2</v>
      </c>
      <c r="EF116">
        <v>4</v>
      </c>
      <c r="EG116">
        <v>0</v>
      </c>
      <c r="EH116">
        <v>9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1</v>
      </c>
      <c r="ET116">
        <v>1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1</v>
      </c>
      <c r="FE116">
        <v>1</v>
      </c>
      <c r="FF116">
        <v>1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1</v>
      </c>
    </row>
    <row r="117" spans="1:172" ht="14.25">
      <c r="A117">
        <v>112</v>
      </c>
      <c r="B117" t="str">
        <f t="shared" si="22"/>
        <v>100405</v>
      </c>
      <c r="C117" t="str">
        <f t="shared" si="23"/>
        <v>Łęczyca</v>
      </c>
      <c r="D117" t="str">
        <f t="shared" si="24"/>
        <v>Łęczycki</v>
      </c>
      <c r="E117" t="str">
        <f t="shared" si="12"/>
        <v>łódzkie</v>
      </c>
      <c r="F117">
        <v>9</v>
      </c>
      <c r="G117" t="str">
        <f>"Zakład Karny w Garbalinie, Garbalin 18, 99-100 Łęczyca"</f>
        <v>Zakład Karny w Garbalinie, Garbalin 18, 99-100 Łęczyca</v>
      </c>
      <c r="H117">
        <v>918</v>
      </c>
      <c r="I117">
        <v>918</v>
      </c>
      <c r="J117">
        <v>0</v>
      </c>
      <c r="K117">
        <v>1015</v>
      </c>
      <c r="L117">
        <v>919</v>
      </c>
      <c r="M117">
        <v>96</v>
      </c>
      <c r="N117">
        <v>96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96</v>
      </c>
      <c r="Z117">
        <v>0</v>
      </c>
      <c r="AA117">
        <v>0</v>
      </c>
      <c r="AB117">
        <v>96</v>
      </c>
      <c r="AC117">
        <v>9</v>
      </c>
      <c r="AD117">
        <v>87</v>
      </c>
      <c r="AE117">
        <v>2</v>
      </c>
      <c r="AF117">
        <v>1</v>
      </c>
      <c r="AG117">
        <v>0</v>
      </c>
      <c r="AH117">
        <v>1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2</v>
      </c>
      <c r="AQ117">
        <v>1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1</v>
      </c>
      <c r="BA117">
        <v>0</v>
      </c>
      <c r="BB117">
        <v>1</v>
      </c>
      <c r="BC117">
        <v>9</v>
      </c>
      <c r="BD117">
        <v>7</v>
      </c>
      <c r="BE117">
        <v>1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1</v>
      </c>
      <c r="BM117">
        <v>0</v>
      </c>
      <c r="BN117">
        <v>9</v>
      </c>
      <c r="BO117">
        <v>12</v>
      </c>
      <c r="BP117">
        <v>3</v>
      </c>
      <c r="BQ117">
        <v>2</v>
      </c>
      <c r="BR117">
        <v>1</v>
      </c>
      <c r="BS117">
        <v>0</v>
      </c>
      <c r="BT117">
        <v>4</v>
      </c>
      <c r="BU117">
        <v>1</v>
      </c>
      <c r="BV117">
        <v>0</v>
      </c>
      <c r="BW117">
        <v>0</v>
      </c>
      <c r="BX117">
        <v>1</v>
      </c>
      <c r="BY117">
        <v>0</v>
      </c>
      <c r="BZ117">
        <v>12</v>
      </c>
      <c r="CA117">
        <v>9</v>
      </c>
      <c r="CB117">
        <v>0</v>
      </c>
      <c r="CC117">
        <v>3</v>
      </c>
      <c r="CD117">
        <v>0</v>
      </c>
      <c r="CE117">
        <v>0</v>
      </c>
      <c r="CF117">
        <v>1</v>
      </c>
      <c r="CG117">
        <v>0</v>
      </c>
      <c r="CH117">
        <v>1</v>
      </c>
      <c r="CI117">
        <v>1</v>
      </c>
      <c r="CJ117">
        <v>2</v>
      </c>
      <c r="CK117">
        <v>1</v>
      </c>
      <c r="CL117">
        <v>9</v>
      </c>
      <c r="CM117">
        <v>9</v>
      </c>
      <c r="CN117">
        <v>3</v>
      </c>
      <c r="CO117">
        <v>0</v>
      </c>
      <c r="CP117">
        <v>0</v>
      </c>
      <c r="CQ117">
        <v>6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9</v>
      </c>
      <c r="CY117">
        <v>2</v>
      </c>
      <c r="CZ117">
        <v>1</v>
      </c>
      <c r="DA117">
        <v>1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2</v>
      </c>
      <c r="DK117">
        <v>37</v>
      </c>
      <c r="DL117">
        <v>7</v>
      </c>
      <c r="DM117">
        <v>20</v>
      </c>
      <c r="DN117">
        <v>1</v>
      </c>
      <c r="DO117">
        <v>3</v>
      </c>
      <c r="DP117">
        <v>0</v>
      </c>
      <c r="DQ117">
        <v>0</v>
      </c>
      <c r="DR117">
        <v>1</v>
      </c>
      <c r="DS117">
        <v>1</v>
      </c>
      <c r="DT117">
        <v>4</v>
      </c>
      <c r="DU117">
        <v>0</v>
      </c>
      <c r="DV117">
        <v>37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1</v>
      </c>
      <c r="EJ117">
        <v>0</v>
      </c>
      <c r="EK117">
        <v>1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1</v>
      </c>
      <c r="ES117">
        <v>5</v>
      </c>
      <c r="ET117">
        <v>0</v>
      </c>
      <c r="EU117">
        <v>0</v>
      </c>
      <c r="EV117">
        <v>5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5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</row>
    <row r="118" spans="1:172" ht="14.25">
      <c r="A118">
        <v>113</v>
      </c>
      <c r="B118" t="str">
        <f>"100406"</f>
        <v>100406</v>
      </c>
      <c r="C118" t="str">
        <f>"Piątek"</f>
        <v>Piątek</v>
      </c>
      <c r="D118" t="str">
        <f t="shared" si="24"/>
        <v>Łęczycki</v>
      </c>
      <c r="E118" t="str">
        <f t="shared" si="12"/>
        <v>łódzkie</v>
      </c>
      <c r="F118">
        <v>1</v>
      </c>
      <c r="G118" t="str">
        <f>"Zespół Szkół Mechanizacji Rolnictwa, ul. Kutnowska 19, 99-120 Piątek"</f>
        <v>Zespół Szkół Mechanizacji Rolnictwa, ul. Kutnowska 19, 99-120 Piątek</v>
      </c>
      <c r="H118">
        <v>1675</v>
      </c>
      <c r="I118">
        <v>1675</v>
      </c>
      <c r="J118">
        <v>0</v>
      </c>
      <c r="K118">
        <v>1180</v>
      </c>
      <c r="L118">
        <v>828</v>
      </c>
      <c r="M118">
        <v>352</v>
      </c>
      <c r="N118">
        <v>352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352</v>
      </c>
      <c r="Z118">
        <v>0</v>
      </c>
      <c r="AA118">
        <v>0</v>
      </c>
      <c r="AB118">
        <v>352</v>
      </c>
      <c r="AC118">
        <v>11</v>
      </c>
      <c r="AD118">
        <v>341</v>
      </c>
      <c r="AE118">
        <v>4</v>
      </c>
      <c r="AF118">
        <v>4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4</v>
      </c>
      <c r="AQ118">
        <v>3</v>
      </c>
      <c r="AR118">
        <v>2</v>
      </c>
      <c r="AS118">
        <v>0</v>
      </c>
      <c r="AT118">
        <v>0</v>
      </c>
      <c r="AU118">
        <v>0</v>
      </c>
      <c r="AV118">
        <v>1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3</v>
      </c>
      <c r="BC118">
        <v>33</v>
      </c>
      <c r="BD118">
        <v>14</v>
      </c>
      <c r="BE118">
        <v>3</v>
      </c>
      <c r="BF118">
        <v>0</v>
      </c>
      <c r="BG118">
        <v>1</v>
      </c>
      <c r="BH118">
        <v>4</v>
      </c>
      <c r="BI118">
        <v>0</v>
      </c>
      <c r="BJ118">
        <v>0</v>
      </c>
      <c r="BK118">
        <v>11</v>
      </c>
      <c r="BL118">
        <v>0</v>
      </c>
      <c r="BM118">
        <v>0</v>
      </c>
      <c r="BN118">
        <v>33</v>
      </c>
      <c r="BO118">
        <v>144</v>
      </c>
      <c r="BP118">
        <v>124</v>
      </c>
      <c r="BQ118">
        <v>0</v>
      </c>
      <c r="BR118">
        <v>0</v>
      </c>
      <c r="BS118">
        <v>6</v>
      </c>
      <c r="BT118">
        <v>0</v>
      </c>
      <c r="BU118">
        <v>1</v>
      </c>
      <c r="BV118">
        <v>0</v>
      </c>
      <c r="BW118">
        <v>1</v>
      </c>
      <c r="BX118">
        <v>0</v>
      </c>
      <c r="BY118">
        <v>12</v>
      </c>
      <c r="BZ118">
        <v>144</v>
      </c>
      <c r="CA118">
        <v>4</v>
      </c>
      <c r="CB118">
        <v>0</v>
      </c>
      <c r="CC118">
        <v>0</v>
      </c>
      <c r="CD118">
        <v>0</v>
      </c>
      <c r="CE118">
        <v>0</v>
      </c>
      <c r="CF118">
        <v>1</v>
      </c>
      <c r="CG118">
        <v>0</v>
      </c>
      <c r="CH118">
        <v>0</v>
      </c>
      <c r="CI118">
        <v>1</v>
      </c>
      <c r="CJ118">
        <v>0</v>
      </c>
      <c r="CK118">
        <v>2</v>
      </c>
      <c r="CL118">
        <v>4</v>
      </c>
      <c r="CM118">
        <v>7</v>
      </c>
      <c r="CN118">
        <v>3</v>
      </c>
      <c r="CO118">
        <v>1</v>
      </c>
      <c r="CP118">
        <v>2</v>
      </c>
      <c r="CQ118">
        <v>0</v>
      </c>
      <c r="CR118">
        <v>0</v>
      </c>
      <c r="CS118">
        <v>1</v>
      </c>
      <c r="CT118">
        <v>0</v>
      </c>
      <c r="CU118">
        <v>0</v>
      </c>
      <c r="CV118">
        <v>0</v>
      </c>
      <c r="CW118">
        <v>0</v>
      </c>
      <c r="CX118">
        <v>7</v>
      </c>
      <c r="CY118">
        <v>21</v>
      </c>
      <c r="CZ118">
        <v>13</v>
      </c>
      <c r="DA118">
        <v>0</v>
      </c>
      <c r="DB118">
        <v>1</v>
      </c>
      <c r="DC118">
        <v>2</v>
      </c>
      <c r="DD118">
        <v>3</v>
      </c>
      <c r="DE118">
        <v>0</v>
      </c>
      <c r="DF118">
        <v>0</v>
      </c>
      <c r="DG118">
        <v>0</v>
      </c>
      <c r="DH118">
        <v>0</v>
      </c>
      <c r="DI118">
        <v>2</v>
      </c>
      <c r="DJ118">
        <v>21</v>
      </c>
      <c r="DK118">
        <v>64</v>
      </c>
      <c r="DL118">
        <v>43</v>
      </c>
      <c r="DM118">
        <v>13</v>
      </c>
      <c r="DN118">
        <v>0</v>
      </c>
      <c r="DO118">
        <v>1</v>
      </c>
      <c r="DP118">
        <v>1</v>
      </c>
      <c r="DQ118">
        <v>0</v>
      </c>
      <c r="DR118">
        <v>2</v>
      </c>
      <c r="DS118">
        <v>0</v>
      </c>
      <c r="DT118">
        <v>3</v>
      </c>
      <c r="DU118">
        <v>1</v>
      </c>
      <c r="DV118">
        <v>64</v>
      </c>
      <c r="DW118">
        <v>59</v>
      </c>
      <c r="DX118">
        <v>1</v>
      </c>
      <c r="DY118">
        <v>0</v>
      </c>
      <c r="DZ118">
        <v>0</v>
      </c>
      <c r="EA118">
        <v>2</v>
      </c>
      <c r="EB118">
        <v>0</v>
      </c>
      <c r="EC118">
        <v>1</v>
      </c>
      <c r="ED118">
        <v>0</v>
      </c>
      <c r="EE118">
        <v>1</v>
      </c>
      <c r="EF118">
        <v>54</v>
      </c>
      <c r="EG118">
        <v>0</v>
      </c>
      <c r="EH118">
        <v>59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2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1</v>
      </c>
      <c r="FL118">
        <v>0</v>
      </c>
      <c r="FM118">
        <v>0</v>
      </c>
      <c r="FN118">
        <v>0</v>
      </c>
      <c r="FO118">
        <v>1</v>
      </c>
      <c r="FP118">
        <v>2</v>
      </c>
    </row>
    <row r="119" spans="1:172" ht="14.25">
      <c r="A119">
        <v>114</v>
      </c>
      <c r="B119" t="str">
        <f>"100406"</f>
        <v>100406</v>
      </c>
      <c r="C119" t="str">
        <f>"Piątek"</f>
        <v>Piątek</v>
      </c>
      <c r="D119" t="str">
        <f t="shared" si="24"/>
        <v>Łęczycki</v>
      </c>
      <c r="E119" t="str">
        <f t="shared" si="12"/>
        <v>łódzkie</v>
      </c>
      <c r="F119">
        <v>2</v>
      </c>
      <c r="G119" t="str">
        <f>"Szkoła Podstawowa, ul. Szkolna 1, 99-120 Piątek"</f>
        <v>Szkoła Podstawowa, ul. Szkolna 1, 99-120 Piątek</v>
      </c>
      <c r="H119">
        <v>1363</v>
      </c>
      <c r="I119">
        <v>1363</v>
      </c>
      <c r="J119">
        <v>0</v>
      </c>
      <c r="K119">
        <v>950</v>
      </c>
      <c r="L119">
        <v>725</v>
      </c>
      <c r="M119">
        <v>225</v>
      </c>
      <c r="N119">
        <v>225</v>
      </c>
      <c r="O119">
        <v>0</v>
      </c>
      <c r="P119">
        <v>0</v>
      </c>
      <c r="Q119">
        <v>4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225</v>
      </c>
      <c r="Z119">
        <v>0</v>
      </c>
      <c r="AA119">
        <v>0</v>
      </c>
      <c r="AB119">
        <v>225</v>
      </c>
      <c r="AC119">
        <v>11</v>
      </c>
      <c r="AD119">
        <v>214</v>
      </c>
      <c r="AE119">
        <v>4</v>
      </c>
      <c r="AF119">
        <v>2</v>
      </c>
      <c r="AG119">
        <v>0</v>
      </c>
      <c r="AH119">
        <v>0</v>
      </c>
      <c r="AI119">
        <v>1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1</v>
      </c>
      <c r="AP119">
        <v>4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2</v>
      </c>
      <c r="BD119">
        <v>0</v>
      </c>
      <c r="BE119">
        <v>1</v>
      </c>
      <c r="BF119">
        <v>0</v>
      </c>
      <c r="BG119">
        <v>0</v>
      </c>
      <c r="BH119">
        <v>1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2</v>
      </c>
      <c r="BO119">
        <v>100</v>
      </c>
      <c r="BP119">
        <v>85</v>
      </c>
      <c r="BQ119">
        <v>1</v>
      </c>
      <c r="BR119">
        <v>1</v>
      </c>
      <c r="BS119">
        <v>2</v>
      </c>
      <c r="BT119">
        <v>0</v>
      </c>
      <c r="BU119">
        <v>4</v>
      </c>
      <c r="BV119">
        <v>0</v>
      </c>
      <c r="BW119">
        <v>1</v>
      </c>
      <c r="BX119">
        <v>0</v>
      </c>
      <c r="BY119">
        <v>6</v>
      </c>
      <c r="BZ119">
        <v>100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7</v>
      </c>
      <c r="CN119">
        <v>7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7</v>
      </c>
      <c r="CY119">
        <v>10</v>
      </c>
      <c r="CZ119">
        <v>8</v>
      </c>
      <c r="DA119">
        <v>1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1</v>
      </c>
      <c r="DI119">
        <v>0</v>
      </c>
      <c r="DJ119">
        <v>10</v>
      </c>
      <c r="DK119">
        <v>13</v>
      </c>
      <c r="DL119">
        <v>5</v>
      </c>
      <c r="DM119">
        <v>6</v>
      </c>
      <c r="DN119">
        <v>0</v>
      </c>
      <c r="DO119">
        <v>0</v>
      </c>
      <c r="DP119">
        <v>2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13</v>
      </c>
      <c r="DW119">
        <v>77</v>
      </c>
      <c r="DX119">
        <v>1</v>
      </c>
      <c r="DY119">
        <v>0</v>
      </c>
      <c r="DZ119">
        <v>0</v>
      </c>
      <c r="EA119">
        <v>4</v>
      </c>
      <c r="EB119">
        <v>0</v>
      </c>
      <c r="EC119">
        <v>0</v>
      </c>
      <c r="ED119">
        <v>0</v>
      </c>
      <c r="EE119">
        <v>3</v>
      </c>
      <c r="EF119">
        <v>69</v>
      </c>
      <c r="EG119">
        <v>0</v>
      </c>
      <c r="EH119">
        <v>77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1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1</v>
      </c>
      <c r="FN119">
        <v>0</v>
      </c>
      <c r="FO119">
        <v>0</v>
      </c>
      <c r="FP119">
        <v>1</v>
      </c>
    </row>
    <row r="120" spans="1:172" ht="14.25">
      <c r="A120">
        <v>115</v>
      </c>
      <c r="B120" t="str">
        <f>"100406"</f>
        <v>100406</v>
      </c>
      <c r="C120" t="str">
        <f>"Piątek"</f>
        <v>Piątek</v>
      </c>
      <c r="D120" t="str">
        <f t="shared" si="24"/>
        <v>Łęczycki</v>
      </c>
      <c r="E120" t="str">
        <f t="shared" si="12"/>
        <v>łódzkie</v>
      </c>
      <c r="F120">
        <v>3</v>
      </c>
      <c r="G120" t="str">
        <f>"Szkoła Podstawowa, Czerników 11, 99-120 Piątek"</f>
        <v>Szkoła Podstawowa, Czerników 11, 99-120 Piątek</v>
      </c>
      <c r="H120">
        <v>989</v>
      </c>
      <c r="I120">
        <v>989</v>
      </c>
      <c r="J120">
        <v>0</v>
      </c>
      <c r="K120">
        <v>690</v>
      </c>
      <c r="L120">
        <v>553</v>
      </c>
      <c r="M120">
        <v>137</v>
      </c>
      <c r="N120">
        <v>137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137</v>
      </c>
      <c r="Z120">
        <v>0</v>
      </c>
      <c r="AA120">
        <v>0</v>
      </c>
      <c r="AB120">
        <v>137</v>
      </c>
      <c r="AC120">
        <v>2</v>
      </c>
      <c r="AD120">
        <v>135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1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1</v>
      </c>
      <c r="BC120">
        <v>5</v>
      </c>
      <c r="BD120">
        <v>4</v>
      </c>
      <c r="BE120">
        <v>0</v>
      </c>
      <c r="BF120">
        <v>0</v>
      </c>
      <c r="BG120">
        <v>0</v>
      </c>
      <c r="BH120">
        <v>0</v>
      </c>
      <c r="BI120">
        <v>1</v>
      </c>
      <c r="BJ120">
        <v>0</v>
      </c>
      <c r="BK120">
        <v>0</v>
      </c>
      <c r="BL120">
        <v>0</v>
      </c>
      <c r="BM120">
        <v>0</v>
      </c>
      <c r="BN120">
        <v>5</v>
      </c>
      <c r="BO120">
        <v>94</v>
      </c>
      <c r="BP120">
        <v>82</v>
      </c>
      <c r="BQ120">
        <v>3</v>
      </c>
      <c r="BR120">
        <v>0</v>
      </c>
      <c r="BS120">
        <v>1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8</v>
      </c>
      <c r="BZ120">
        <v>94</v>
      </c>
      <c r="CA120">
        <v>1</v>
      </c>
      <c r="CB120">
        <v>1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1</v>
      </c>
      <c r="CM120">
        <v>2</v>
      </c>
      <c r="CN120">
        <v>2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2</v>
      </c>
      <c r="CY120">
        <v>10</v>
      </c>
      <c r="CZ120">
        <v>8</v>
      </c>
      <c r="DA120">
        <v>1</v>
      </c>
      <c r="DB120">
        <v>1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10</v>
      </c>
      <c r="DK120">
        <v>6</v>
      </c>
      <c r="DL120">
        <v>4</v>
      </c>
      <c r="DM120">
        <v>1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1</v>
      </c>
      <c r="DT120">
        <v>0</v>
      </c>
      <c r="DU120">
        <v>0</v>
      </c>
      <c r="DV120">
        <v>6</v>
      </c>
      <c r="DW120">
        <v>15</v>
      </c>
      <c r="DX120">
        <v>0</v>
      </c>
      <c r="DY120">
        <v>1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14</v>
      </c>
      <c r="EG120">
        <v>0</v>
      </c>
      <c r="EH120">
        <v>15</v>
      </c>
      <c r="EI120">
        <v>1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1</v>
      </c>
      <c r="EQ120">
        <v>0</v>
      </c>
      <c r="ER120">
        <v>1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</row>
    <row r="121" spans="1:172" ht="14.25">
      <c r="A121">
        <v>116</v>
      </c>
      <c r="B121" t="str">
        <f>"100406"</f>
        <v>100406</v>
      </c>
      <c r="C121" t="str">
        <f>"Piątek"</f>
        <v>Piątek</v>
      </c>
      <c r="D121" t="str">
        <f t="shared" si="24"/>
        <v>Łęczycki</v>
      </c>
      <c r="E121" t="str">
        <f t="shared" si="12"/>
        <v>łódzkie</v>
      </c>
      <c r="F121">
        <v>4</v>
      </c>
      <c r="G121" t="str">
        <f>"Remiza Ochotniczej Straży Pożarnej, Goślub 15, 99-120 Piątek"</f>
        <v>Remiza Ochotniczej Straży Pożarnej, Goślub 15, 99-120 Piątek</v>
      </c>
      <c r="H121">
        <v>744</v>
      </c>
      <c r="I121">
        <v>744</v>
      </c>
      <c r="J121">
        <v>0</v>
      </c>
      <c r="K121">
        <v>520</v>
      </c>
      <c r="L121">
        <v>410</v>
      </c>
      <c r="M121">
        <v>110</v>
      </c>
      <c r="N121">
        <v>110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110</v>
      </c>
      <c r="Z121">
        <v>0</v>
      </c>
      <c r="AA121">
        <v>0</v>
      </c>
      <c r="AB121">
        <v>110</v>
      </c>
      <c r="AC121">
        <v>4</v>
      </c>
      <c r="AD121">
        <v>106</v>
      </c>
      <c r="AE121">
        <v>4</v>
      </c>
      <c r="AF121">
        <v>3</v>
      </c>
      <c r="AG121">
        <v>1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4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1</v>
      </c>
      <c r="BD121">
        <v>0</v>
      </c>
      <c r="BE121">
        <v>1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1</v>
      </c>
      <c r="BO121">
        <v>57</v>
      </c>
      <c r="BP121">
        <v>43</v>
      </c>
      <c r="BQ121">
        <v>2</v>
      </c>
      <c r="BR121">
        <v>1</v>
      </c>
      <c r="BS121">
        <v>0</v>
      </c>
      <c r="BT121">
        <v>1</v>
      </c>
      <c r="BU121">
        <v>0</v>
      </c>
      <c r="BV121">
        <v>1</v>
      </c>
      <c r="BW121">
        <v>1</v>
      </c>
      <c r="BX121">
        <v>1</v>
      </c>
      <c r="BY121">
        <v>7</v>
      </c>
      <c r="BZ121">
        <v>57</v>
      </c>
      <c r="CA121">
        <v>3</v>
      </c>
      <c r="CB121">
        <v>0</v>
      </c>
      <c r="CC121">
        <v>0</v>
      </c>
      <c r="CD121">
        <v>0</v>
      </c>
      <c r="CE121">
        <v>2</v>
      </c>
      <c r="CF121">
        <v>0</v>
      </c>
      <c r="CG121">
        <v>0</v>
      </c>
      <c r="CH121">
        <v>0</v>
      </c>
      <c r="CI121">
        <v>0</v>
      </c>
      <c r="CJ121">
        <v>1</v>
      </c>
      <c r="CK121">
        <v>0</v>
      </c>
      <c r="CL121">
        <v>3</v>
      </c>
      <c r="CM121">
        <v>1</v>
      </c>
      <c r="CN121">
        <v>1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1</v>
      </c>
      <c r="CY121">
        <v>7</v>
      </c>
      <c r="CZ121">
        <v>3</v>
      </c>
      <c r="DA121">
        <v>0</v>
      </c>
      <c r="DB121">
        <v>1</v>
      </c>
      <c r="DC121">
        <v>1</v>
      </c>
      <c r="DD121">
        <v>0</v>
      </c>
      <c r="DE121">
        <v>0</v>
      </c>
      <c r="DF121">
        <v>0</v>
      </c>
      <c r="DG121">
        <v>1</v>
      </c>
      <c r="DH121">
        <v>1</v>
      </c>
      <c r="DI121">
        <v>0</v>
      </c>
      <c r="DJ121">
        <v>7</v>
      </c>
      <c r="DK121">
        <v>5</v>
      </c>
      <c r="DL121">
        <v>4</v>
      </c>
      <c r="DM121">
        <v>1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5</v>
      </c>
      <c r="DW121">
        <v>26</v>
      </c>
      <c r="DX121">
        <v>0</v>
      </c>
      <c r="DY121">
        <v>0</v>
      </c>
      <c r="DZ121">
        <v>0</v>
      </c>
      <c r="EA121">
        <v>1</v>
      </c>
      <c r="EB121">
        <v>0</v>
      </c>
      <c r="EC121">
        <v>0</v>
      </c>
      <c r="ED121">
        <v>0</v>
      </c>
      <c r="EE121">
        <v>0</v>
      </c>
      <c r="EF121">
        <v>24</v>
      </c>
      <c r="EG121">
        <v>1</v>
      </c>
      <c r="EH121">
        <v>26</v>
      </c>
      <c r="EI121">
        <v>1</v>
      </c>
      <c r="EJ121">
        <v>0</v>
      </c>
      <c r="EK121">
        <v>1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1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1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1</v>
      </c>
      <c r="FL121">
        <v>0</v>
      </c>
      <c r="FM121">
        <v>0</v>
      </c>
      <c r="FN121">
        <v>0</v>
      </c>
      <c r="FO121">
        <v>0</v>
      </c>
      <c r="FP121">
        <v>1</v>
      </c>
    </row>
    <row r="122" spans="1:172" ht="14.25">
      <c r="A122">
        <v>117</v>
      </c>
      <c r="B122" t="str">
        <f>"100406"</f>
        <v>100406</v>
      </c>
      <c r="C122" t="str">
        <f>"Piątek"</f>
        <v>Piątek</v>
      </c>
      <c r="D122" t="str">
        <f t="shared" si="24"/>
        <v>Łęczycki</v>
      </c>
      <c r="E122" t="str">
        <f t="shared" si="12"/>
        <v>łódzkie</v>
      </c>
      <c r="F122">
        <v>5</v>
      </c>
      <c r="G122" t="str">
        <f>"Remiza Ochotniczej Straży Pożarnej, Janków 2, 99-120 Piątek"</f>
        <v>Remiza Ochotniczej Straży Pożarnej, Janków 2, 99-120 Piątek</v>
      </c>
      <c r="H122">
        <v>348</v>
      </c>
      <c r="I122">
        <v>348</v>
      </c>
      <c r="J122">
        <v>0</v>
      </c>
      <c r="K122">
        <v>250</v>
      </c>
      <c r="L122">
        <v>163</v>
      </c>
      <c r="M122">
        <v>87</v>
      </c>
      <c r="N122">
        <v>87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87</v>
      </c>
      <c r="Z122">
        <v>0</v>
      </c>
      <c r="AA122">
        <v>0</v>
      </c>
      <c r="AB122">
        <v>87</v>
      </c>
      <c r="AC122">
        <v>0</v>
      </c>
      <c r="AD122">
        <v>87</v>
      </c>
      <c r="AE122">
        <v>7</v>
      </c>
      <c r="AF122">
        <v>6</v>
      </c>
      <c r="AG122">
        <v>0</v>
      </c>
      <c r="AH122">
        <v>0</v>
      </c>
      <c r="AI122">
        <v>0</v>
      </c>
      <c r="AJ122">
        <v>0</v>
      </c>
      <c r="AK122">
        <v>1</v>
      </c>
      <c r="AL122">
        <v>0</v>
      </c>
      <c r="AM122">
        <v>0</v>
      </c>
      <c r="AN122">
        <v>0</v>
      </c>
      <c r="AO122">
        <v>0</v>
      </c>
      <c r="AP122">
        <v>7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2</v>
      </c>
      <c r="BD122">
        <v>2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2</v>
      </c>
      <c r="BO122">
        <v>22</v>
      </c>
      <c r="BP122">
        <v>21</v>
      </c>
      <c r="BQ122">
        <v>0</v>
      </c>
      <c r="BR122">
        <v>0</v>
      </c>
      <c r="BS122">
        <v>1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22</v>
      </c>
      <c r="CA122">
        <v>1</v>
      </c>
      <c r="CB122">
        <v>0</v>
      </c>
      <c r="CC122">
        <v>0</v>
      </c>
      <c r="CD122">
        <v>0</v>
      </c>
      <c r="CE122">
        <v>0</v>
      </c>
      <c r="CF122">
        <v>1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1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5</v>
      </c>
      <c r="CZ122">
        <v>5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5</v>
      </c>
      <c r="DK122">
        <v>7</v>
      </c>
      <c r="DL122">
        <v>2</v>
      </c>
      <c r="DM122">
        <v>2</v>
      </c>
      <c r="DN122">
        <v>0</v>
      </c>
      <c r="DO122">
        <v>3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7</v>
      </c>
      <c r="DW122">
        <v>43</v>
      </c>
      <c r="DX122">
        <v>1</v>
      </c>
      <c r="DY122">
        <v>2</v>
      </c>
      <c r="DZ122">
        <v>0</v>
      </c>
      <c r="EA122">
        <v>1</v>
      </c>
      <c r="EB122">
        <v>0</v>
      </c>
      <c r="EC122">
        <v>0</v>
      </c>
      <c r="ED122">
        <v>0</v>
      </c>
      <c r="EE122">
        <v>1</v>
      </c>
      <c r="EF122">
        <v>38</v>
      </c>
      <c r="EG122">
        <v>0</v>
      </c>
      <c r="EH122">
        <v>43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</row>
    <row r="123" spans="1:172" ht="14.25">
      <c r="A123">
        <v>118</v>
      </c>
      <c r="B123" t="str">
        <f>"100407"</f>
        <v>100407</v>
      </c>
      <c r="C123" t="str">
        <f>"Świnice Warckie"</f>
        <v>Świnice Warckie</v>
      </c>
      <c r="D123" t="str">
        <f t="shared" si="24"/>
        <v>Łęczycki</v>
      </c>
      <c r="E123" t="str">
        <f t="shared" si="12"/>
        <v>łódzkie</v>
      </c>
      <c r="F123">
        <v>1</v>
      </c>
      <c r="G123" t="str">
        <f>"Sala OSP, Chwalborzyce 10a, 99-140 Świnice Warckie"</f>
        <v>Sala OSP, Chwalborzyce 10a, 99-140 Świnice Warckie</v>
      </c>
      <c r="H123">
        <v>559</v>
      </c>
      <c r="I123">
        <v>559</v>
      </c>
      <c r="J123">
        <v>0</v>
      </c>
      <c r="K123">
        <v>390</v>
      </c>
      <c r="L123">
        <v>296</v>
      </c>
      <c r="M123">
        <v>94</v>
      </c>
      <c r="N123">
        <v>94</v>
      </c>
      <c r="O123">
        <v>0</v>
      </c>
      <c r="P123">
        <v>0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94</v>
      </c>
      <c r="Z123">
        <v>0</v>
      </c>
      <c r="AA123">
        <v>0</v>
      </c>
      <c r="AB123">
        <v>94</v>
      </c>
      <c r="AC123">
        <v>7</v>
      </c>
      <c r="AD123">
        <v>87</v>
      </c>
      <c r="AE123">
        <v>4</v>
      </c>
      <c r="AF123">
        <v>3</v>
      </c>
      <c r="AG123">
        <v>0</v>
      </c>
      <c r="AH123">
        <v>1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4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8</v>
      </c>
      <c r="BD123">
        <v>4</v>
      </c>
      <c r="BE123">
        <v>1</v>
      </c>
      <c r="BF123">
        <v>0</v>
      </c>
      <c r="BG123">
        <v>0</v>
      </c>
      <c r="BH123">
        <v>0</v>
      </c>
      <c r="BI123">
        <v>1</v>
      </c>
      <c r="BJ123">
        <v>0</v>
      </c>
      <c r="BK123">
        <v>0</v>
      </c>
      <c r="BL123">
        <v>2</v>
      </c>
      <c r="BM123">
        <v>0</v>
      </c>
      <c r="BN123">
        <v>8</v>
      </c>
      <c r="BO123">
        <v>38</v>
      </c>
      <c r="BP123">
        <v>24</v>
      </c>
      <c r="BQ123">
        <v>1</v>
      </c>
      <c r="BR123">
        <v>2</v>
      </c>
      <c r="BS123">
        <v>9</v>
      </c>
      <c r="BT123">
        <v>0</v>
      </c>
      <c r="BU123">
        <v>0</v>
      </c>
      <c r="BV123">
        <v>2</v>
      </c>
      <c r="BW123">
        <v>0</v>
      </c>
      <c r="BX123">
        <v>0</v>
      </c>
      <c r="BY123">
        <v>0</v>
      </c>
      <c r="BZ123">
        <v>38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1</v>
      </c>
      <c r="CN123">
        <v>0</v>
      </c>
      <c r="CO123">
        <v>0</v>
      </c>
      <c r="CP123">
        <v>0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5</v>
      </c>
      <c r="CZ123">
        <v>4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1</v>
      </c>
      <c r="DH123">
        <v>0</v>
      </c>
      <c r="DI123">
        <v>0</v>
      </c>
      <c r="DJ123">
        <v>5</v>
      </c>
      <c r="DK123">
        <v>12</v>
      </c>
      <c r="DL123">
        <v>5</v>
      </c>
      <c r="DM123">
        <v>4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2</v>
      </c>
      <c r="DT123">
        <v>1</v>
      </c>
      <c r="DU123">
        <v>0</v>
      </c>
      <c r="DV123">
        <v>12</v>
      </c>
      <c r="DW123">
        <v>17</v>
      </c>
      <c r="DX123">
        <v>4</v>
      </c>
      <c r="DY123">
        <v>2</v>
      </c>
      <c r="DZ123">
        <v>0</v>
      </c>
      <c r="EA123">
        <v>0</v>
      </c>
      <c r="EB123">
        <v>0</v>
      </c>
      <c r="EC123">
        <v>2</v>
      </c>
      <c r="ED123">
        <v>3</v>
      </c>
      <c r="EE123">
        <v>5</v>
      </c>
      <c r="EF123">
        <v>1</v>
      </c>
      <c r="EG123">
        <v>0</v>
      </c>
      <c r="EH123">
        <v>17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1</v>
      </c>
      <c r="ET123">
        <v>1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1</v>
      </c>
      <c r="FE123">
        <v>1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1</v>
      </c>
      <c r="FO123">
        <v>0</v>
      </c>
      <c r="FP123">
        <v>1</v>
      </c>
    </row>
    <row r="124" spans="1:172" ht="14.25">
      <c r="A124">
        <v>119</v>
      </c>
      <c r="B124" t="str">
        <f>"100407"</f>
        <v>100407</v>
      </c>
      <c r="C124" t="str">
        <f>"Świnice Warckie"</f>
        <v>Świnice Warckie</v>
      </c>
      <c r="D124" t="str">
        <f t="shared" si="24"/>
        <v>Łęczycki</v>
      </c>
      <c r="E124" t="str">
        <f t="shared" si="12"/>
        <v>łódzkie</v>
      </c>
      <c r="F124">
        <v>2</v>
      </c>
      <c r="G124" t="str">
        <f>"Szkoła Podstawowa, ul. Szkolna 5, 99-140 Świnice Warckie"</f>
        <v>Szkoła Podstawowa, ul. Szkolna 5, 99-140 Świnice Warckie</v>
      </c>
      <c r="H124">
        <v>1207</v>
      </c>
      <c r="I124">
        <v>1207</v>
      </c>
      <c r="J124">
        <v>0</v>
      </c>
      <c r="K124">
        <v>850</v>
      </c>
      <c r="L124">
        <v>604</v>
      </c>
      <c r="M124">
        <v>246</v>
      </c>
      <c r="N124">
        <v>246</v>
      </c>
      <c r="O124">
        <v>0</v>
      </c>
      <c r="P124">
        <v>0</v>
      </c>
      <c r="Q124">
        <v>3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246</v>
      </c>
      <c r="Z124">
        <v>0</v>
      </c>
      <c r="AA124">
        <v>0</v>
      </c>
      <c r="AB124">
        <v>246</v>
      </c>
      <c r="AC124">
        <v>8</v>
      </c>
      <c r="AD124">
        <v>238</v>
      </c>
      <c r="AE124">
        <v>1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1</v>
      </c>
      <c r="AO124">
        <v>0</v>
      </c>
      <c r="AP124">
        <v>1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21</v>
      </c>
      <c r="BD124">
        <v>14</v>
      </c>
      <c r="BE124">
        <v>3</v>
      </c>
      <c r="BF124">
        <v>1</v>
      </c>
      <c r="BG124">
        <v>1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2</v>
      </c>
      <c r="BN124">
        <v>21</v>
      </c>
      <c r="BO124">
        <v>127</v>
      </c>
      <c r="BP124">
        <v>91</v>
      </c>
      <c r="BQ124">
        <v>7</v>
      </c>
      <c r="BR124">
        <v>1</v>
      </c>
      <c r="BS124">
        <v>23</v>
      </c>
      <c r="BT124">
        <v>0</v>
      </c>
      <c r="BU124">
        <v>0</v>
      </c>
      <c r="BV124">
        <v>2</v>
      </c>
      <c r="BW124">
        <v>1</v>
      </c>
      <c r="BX124">
        <v>0</v>
      </c>
      <c r="BY124">
        <v>2</v>
      </c>
      <c r="BZ124">
        <v>127</v>
      </c>
      <c r="CA124">
        <v>5</v>
      </c>
      <c r="CB124">
        <v>2</v>
      </c>
      <c r="CC124">
        <v>1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2</v>
      </c>
      <c r="CL124">
        <v>5</v>
      </c>
      <c r="CM124">
        <v>6</v>
      </c>
      <c r="CN124">
        <v>4</v>
      </c>
      <c r="CO124">
        <v>2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6</v>
      </c>
      <c r="CY124">
        <v>9</v>
      </c>
      <c r="CZ124">
        <v>7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1</v>
      </c>
      <c r="DG124">
        <v>1</v>
      </c>
      <c r="DH124">
        <v>0</v>
      </c>
      <c r="DI124">
        <v>0</v>
      </c>
      <c r="DJ124">
        <v>9</v>
      </c>
      <c r="DK124">
        <v>36</v>
      </c>
      <c r="DL124">
        <v>25</v>
      </c>
      <c r="DM124">
        <v>9</v>
      </c>
      <c r="DN124">
        <v>1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1</v>
      </c>
      <c r="DV124">
        <v>36</v>
      </c>
      <c r="DW124">
        <v>33</v>
      </c>
      <c r="DX124">
        <v>2</v>
      </c>
      <c r="DY124">
        <v>3</v>
      </c>
      <c r="DZ124">
        <v>0</v>
      </c>
      <c r="EA124">
        <v>12</v>
      </c>
      <c r="EB124">
        <v>1</v>
      </c>
      <c r="EC124">
        <v>3</v>
      </c>
      <c r="ED124">
        <v>0</v>
      </c>
      <c r="EE124">
        <v>3</v>
      </c>
      <c r="EF124">
        <v>9</v>
      </c>
      <c r="EG124">
        <v>0</v>
      </c>
      <c r="EH124">
        <v>33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</row>
    <row r="125" spans="1:172" ht="14.25">
      <c r="A125">
        <v>120</v>
      </c>
      <c r="B125" t="str">
        <f>"100407"</f>
        <v>100407</v>
      </c>
      <c r="C125" t="str">
        <f>"Świnice Warckie"</f>
        <v>Świnice Warckie</v>
      </c>
      <c r="D125" t="str">
        <f t="shared" si="24"/>
        <v>Łęczycki</v>
      </c>
      <c r="E125" t="str">
        <f t="shared" si="12"/>
        <v>łódzkie</v>
      </c>
      <c r="F125">
        <v>3</v>
      </c>
      <c r="G125" t="str">
        <f>"Szkoła Podstawowa, Piaski 23, 99-140 Świnice Warckie"</f>
        <v>Szkoła Podstawowa, Piaski 23, 99-140 Świnice Warckie</v>
      </c>
      <c r="H125">
        <v>923</v>
      </c>
      <c r="I125">
        <v>923</v>
      </c>
      <c r="J125">
        <v>0</v>
      </c>
      <c r="K125">
        <v>650</v>
      </c>
      <c r="L125">
        <v>541</v>
      </c>
      <c r="M125">
        <v>109</v>
      </c>
      <c r="N125">
        <v>109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109</v>
      </c>
      <c r="Z125">
        <v>0</v>
      </c>
      <c r="AA125">
        <v>0</v>
      </c>
      <c r="AB125">
        <v>109</v>
      </c>
      <c r="AC125">
        <v>7</v>
      </c>
      <c r="AD125">
        <v>102</v>
      </c>
      <c r="AE125">
        <v>2</v>
      </c>
      <c r="AF125">
        <v>2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2</v>
      </c>
      <c r="AQ125">
        <v>1</v>
      </c>
      <c r="AR125">
        <v>1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1</v>
      </c>
      <c r="BC125">
        <v>4</v>
      </c>
      <c r="BD125">
        <v>0</v>
      </c>
      <c r="BE125">
        <v>1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3</v>
      </c>
      <c r="BL125">
        <v>0</v>
      </c>
      <c r="BM125">
        <v>0</v>
      </c>
      <c r="BN125">
        <v>4</v>
      </c>
      <c r="BO125">
        <v>68</v>
      </c>
      <c r="BP125">
        <v>46</v>
      </c>
      <c r="BQ125">
        <v>1</v>
      </c>
      <c r="BR125">
        <v>0</v>
      </c>
      <c r="BS125">
        <v>18</v>
      </c>
      <c r="BT125">
        <v>0</v>
      </c>
      <c r="BU125">
        <v>0</v>
      </c>
      <c r="BV125">
        <v>0</v>
      </c>
      <c r="BW125">
        <v>1</v>
      </c>
      <c r="BX125">
        <v>0</v>
      </c>
      <c r="BY125">
        <v>2</v>
      </c>
      <c r="BZ125">
        <v>68</v>
      </c>
      <c r="CA125">
        <v>1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1</v>
      </c>
      <c r="CL125">
        <v>1</v>
      </c>
      <c r="CM125">
        <v>2</v>
      </c>
      <c r="CN125">
        <v>1</v>
      </c>
      <c r="CO125">
        <v>0</v>
      </c>
      <c r="CP125">
        <v>0</v>
      </c>
      <c r="CQ125">
        <v>1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2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7</v>
      </c>
      <c r="DL125">
        <v>4</v>
      </c>
      <c r="DM125">
        <v>2</v>
      </c>
      <c r="DN125">
        <v>0</v>
      </c>
      <c r="DO125">
        <v>0</v>
      </c>
      <c r="DP125">
        <v>0</v>
      </c>
      <c r="DQ125">
        <v>1</v>
      </c>
      <c r="DR125">
        <v>0</v>
      </c>
      <c r="DS125">
        <v>0</v>
      </c>
      <c r="DT125">
        <v>0</v>
      </c>
      <c r="DU125">
        <v>0</v>
      </c>
      <c r="DV125">
        <v>7</v>
      </c>
      <c r="DW125">
        <v>14</v>
      </c>
      <c r="DX125">
        <v>2</v>
      </c>
      <c r="DY125">
        <v>1</v>
      </c>
      <c r="DZ125">
        <v>0</v>
      </c>
      <c r="EA125">
        <v>5</v>
      </c>
      <c r="EB125">
        <v>0</v>
      </c>
      <c r="EC125">
        <v>1</v>
      </c>
      <c r="ED125">
        <v>1</v>
      </c>
      <c r="EE125">
        <v>0</v>
      </c>
      <c r="EF125">
        <v>4</v>
      </c>
      <c r="EG125">
        <v>0</v>
      </c>
      <c r="EH125">
        <v>14</v>
      </c>
      <c r="EI125">
        <v>3</v>
      </c>
      <c r="EJ125">
        <v>2</v>
      </c>
      <c r="EK125">
        <v>1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3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</row>
    <row r="126" spans="1:172" ht="14.25">
      <c r="A126">
        <v>121</v>
      </c>
      <c r="B126" t="str">
        <f>"100407"</f>
        <v>100407</v>
      </c>
      <c r="C126" t="str">
        <f>"Świnice Warckie"</f>
        <v>Świnice Warckie</v>
      </c>
      <c r="D126" t="str">
        <f t="shared" si="24"/>
        <v>Łęczycki</v>
      </c>
      <c r="E126" t="str">
        <f t="shared" si="12"/>
        <v>łódzkie</v>
      </c>
      <c r="F126">
        <v>4</v>
      </c>
      <c r="G126" t="str">
        <f>"Sala OSP, Grodzisko 14, 99-140 Świnice Warckie"</f>
        <v>Sala OSP, Grodzisko 14, 99-140 Świnice Warckie</v>
      </c>
      <c r="H126">
        <v>615</v>
      </c>
      <c r="I126">
        <v>615</v>
      </c>
      <c r="J126">
        <v>0</v>
      </c>
      <c r="K126">
        <v>430</v>
      </c>
      <c r="L126">
        <v>317</v>
      </c>
      <c r="M126">
        <v>113</v>
      </c>
      <c r="N126">
        <v>113</v>
      </c>
      <c r="O126">
        <v>0</v>
      </c>
      <c r="P126">
        <v>0</v>
      </c>
      <c r="Q126">
        <v>4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113</v>
      </c>
      <c r="Z126">
        <v>0</v>
      </c>
      <c r="AA126">
        <v>0</v>
      </c>
      <c r="AB126">
        <v>113</v>
      </c>
      <c r="AC126">
        <v>6</v>
      </c>
      <c r="AD126">
        <v>107</v>
      </c>
      <c r="AE126">
        <v>7</v>
      </c>
      <c r="AF126">
        <v>1</v>
      </c>
      <c r="AG126">
        <v>1</v>
      </c>
      <c r="AH126">
        <v>1</v>
      </c>
      <c r="AI126">
        <v>1</v>
      </c>
      <c r="AJ126">
        <v>0</v>
      </c>
      <c r="AK126">
        <v>0</v>
      </c>
      <c r="AL126">
        <v>0</v>
      </c>
      <c r="AM126">
        <v>2</v>
      </c>
      <c r="AN126">
        <v>0</v>
      </c>
      <c r="AO126">
        <v>1</v>
      </c>
      <c r="AP126">
        <v>7</v>
      </c>
      <c r="AQ126">
        <v>1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1</v>
      </c>
      <c r="BA126">
        <v>0</v>
      </c>
      <c r="BB126">
        <v>1</v>
      </c>
      <c r="BC126">
        <v>2</v>
      </c>
      <c r="BD126">
        <v>2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2</v>
      </c>
      <c r="BO126">
        <v>58</v>
      </c>
      <c r="BP126">
        <v>44</v>
      </c>
      <c r="BQ126">
        <v>2</v>
      </c>
      <c r="BR126">
        <v>2</v>
      </c>
      <c r="BS126">
        <v>6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4</v>
      </c>
      <c r="BZ126">
        <v>58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2</v>
      </c>
      <c r="CN126">
        <v>2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2</v>
      </c>
      <c r="CY126">
        <v>5</v>
      </c>
      <c r="CZ126">
        <v>4</v>
      </c>
      <c r="DA126">
        <v>0</v>
      </c>
      <c r="DB126">
        <v>0</v>
      </c>
      <c r="DC126">
        <v>0</v>
      </c>
      <c r="DD126">
        <v>1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5</v>
      </c>
      <c r="DK126">
        <v>10</v>
      </c>
      <c r="DL126">
        <v>8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1</v>
      </c>
      <c r="DT126">
        <v>1</v>
      </c>
      <c r="DU126">
        <v>0</v>
      </c>
      <c r="DV126">
        <v>10</v>
      </c>
      <c r="DW126">
        <v>22</v>
      </c>
      <c r="DX126">
        <v>7</v>
      </c>
      <c r="DY126">
        <v>3</v>
      </c>
      <c r="DZ126">
        <v>0</v>
      </c>
      <c r="EA126">
        <v>5</v>
      </c>
      <c r="EB126">
        <v>1</v>
      </c>
      <c r="EC126">
        <v>2</v>
      </c>
      <c r="ED126">
        <v>0</v>
      </c>
      <c r="EE126">
        <v>1</v>
      </c>
      <c r="EF126">
        <v>2</v>
      </c>
      <c r="EG126">
        <v>1</v>
      </c>
      <c r="EH126">
        <v>22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</row>
    <row r="127" spans="1:172" ht="14.25">
      <c r="A127">
        <v>122</v>
      </c>
      <c r="B127" t="str">
        <f>"100408"</f>
        <v>100408</v>
      </c>
      <c r="C127" t="str">
        <f>"Witonia"</f>
        <v>Witonia</v>
      </c>
      <c r="D127" t="str">
        <f t="shared" si="24"/>
        <v>Łęczycki</v>
      </c>
      <c r="E127" t="str">
        <f t="shared" si="12"/>
        <v>łódzkie</v>
      </c>
      <c r="F127">
        <v>1</v>
      </c>
      <c r="G127" t="str">
        <f>"Budynek byłej Szkoły Podstawowej, Kuchary 51, 99-335 Witonia"</f>
        <v>Budynek byłej Szkoły Podstawowej, Kuchary 51, 99-335 Witonia</v>
      </c>
      <c r="H127">
        <v>508</v>
      </c>
      <c r="I127">
        <v>508</v>
      </c>
      <c r="J127">
        <v>0</v>
      </c>
      <c r="K127">
        <v>360</v>
      </c>
      <c r="L127">
        <v>286</v>
      </c>
      <c r="M127">
        <v>74</v>
      </c>
      <c r="N127">
        <v>74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74</v>
      </c>
      <c r="Z127">
        <v>0</v>
      </c>
      <c r="AA127">
        <v>0</v>
      </c>
      <c r="AB127">
        <v>74</v>
      </c>
      <c r="AC127">
        <v>5</v>
      </c>
      <c r="AD127">
        <v>69</v>
      </c>
      <c r="AE127">
        <v>4</v>
      </c>
      <c r="AF127">
        <v>3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1</v>
      </c>
      <c r="AN127">
        <v>0</v>
      </c>
      <c r="AO127">
        <v>0</v>
      </c>
      <c r="AP127">
        <v>4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7</v>
      </c>
      <c r="BD127">
        <v>4</v>
      </c>
      <c r="BE127">
        <v>1</v>
      </c>
      <c r="BF127">
        <v>0</v>
      </c>
      <c r="BG127">
        <v>1</v>
      </c>
      <c r="BH127">
        <v>1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7</v>
      </c>
      <c r="BO127">
        <v>34</v>
      </c>
      <c r="BP127">
        <v>27</v>
      </c>
      <c r="BQ127">
        <v>3</v>
      </c>
      <c r="BR127">
        <v>3</v>
      </c>
      <c r="BS127">
        <v>0</v>
      </c>
      <c r="BT127">
        <v>0</v>
      </c>
      <c r="BU127">
        <v>0</v>
      </c>
      <c r="BV127">
        <v>1</v>
      </c>
      <c r="BW127">
        <v>0</v>
      </c>
      <c r="BX127">
        <v>0</v>
      </c>
      <c r="BY127">
        <v>0</v>
      </c>
      <c r="BZ127">
        <v>34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7</v>
      </c>
      <c r="CZ127">
        <v>4</v>
      </c>
      <c r="DA127">
        <v>1</v>
      </c>
      <c r="DB127">
        <v>2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7</v>
      </c>
      <c r="DK127">
        <v>5</v>
      </c>
      <c r="DL127">
        <v>3</v>
      </c>
      <c r="DM127">
        <v>2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5</v>
      </c>
      <c r="DW127">
        <v>11</v>
      </c>
      <c r="DX127">
        <v>0</v>
      </c>
      <c r="DY127">
        <v>0</v>
      </c>
      <c r="DZ127">
        <v>0</v>
      </c>
      <c r="EA127">
        <v>3</v>
      </c>
      <c r="EB127">
        <v>0</v>
      </c>
      <c r="EC127">
        <v>0</v>
      </c>
      <c r="ED127">
        <v>4</v>
      </c>
      <c r="EE127">
        <v>1</v>
      </c>
      <c r="EF127">
        <v>1</v>
      </c>
      <c r="EG127">
        <v>2</v>
      </c>
      <c r="EH127">
        <v>11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1</v>
      </c>
      <c r="ET127">
        <v>0</v>
      </c>
      <c r="EU127">
        <v>0</v>
      </c>
      <c r="EV127">
        <v>0</v>
      </c>
      <c r="EW127">
        <v>1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1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</row>
    <row r="128" spans="1:172" ht="14.25">
      <c r="A128">
        <v>123</v>
      </c>
      <c r="B128" t="str">
        <f>"100408"</f>
        <v>100408</v>
      </c>
      <c r="C128" t="str">
        <f>"Witonia"</f>
        <v>Witonia</v>
      </c>
      <c r="D128" t="str">
        <f t="shared" si="24"/>
        <v>Łęczycki</v>
      </c>
      <c r="E128" t="str">
        <f t="shared" si="12"/>
        <v>łódzkie</v>
      </c>
      <c r="F128">
        <v>2</v>
      </c>
      <c r="G128" t="str">
        <f>"Szkoła Podstawowa, ul. Szkolna 4, 99-335 Witonia"</f>
        <v>Szkoła Podstawowa, ul. Szkolna 4, 99-335 Witonia</v>
      </c>
      <c r="H128">
        <v>1352</v>
      </c>
      <c r="I128">
        <v>1352</v>
      </c>
      <c r="J128">
        <v>0</v>
      </c>
      <c r="K128">
        <v>950</v>
      </c>
      <c r="L128">
        <v>745</v>
      </c>
      <c r="M128">
        <v>205</v>
      </c>
      <c r="N128">
        <v>205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205</v>
      </c>
      <c r="Z128">
        <v>0</v>
      </c>
      <c r="AA128">
        <v>0</v>
      </c>
      <c r="AB128">
        <v>205</v>
      </c>
      <c r="AC128">
        <v>8</v>
      </c>
      <c r="AD128">
        <v>197</v>
      </c>
      <c r="AE128">
        <v>16</v>
      </c>
      <c r="AF128">
        <v>12</v>
      </c>
      <c r="AG128">
        <v>2</v>
      </c>
      <c r="AH128">
        <v>0</v>
      </c>
      <c r="AI128">
        <v>0</v>
      </c>
      <c r="AJ128">
        <v>1</v>
      </c>
      <c r="AK128">
        <v>0</v>
      </c>
      <c r="AL128">
        <v>0</v>
      </c>
      <c r="AM128">
        <v>0</v>
      </c>
      <c r="AN128">
        <v>1</v>
      </c>
      <c r="AO128">
        <v>0</v>
      </c>
      <c r="AP128">
        <v>16</v>
      </c>
      <c r="AQ128">
        <v>4</v>
      </c>
      <c r="AR128">
        <v>3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1</v>
      </c>
      <c r="BA128">
        <v>0</v>
      </c>
      <c r="BB128">
        <v>4</v>
      </c>
      <c r="BC128">
        <v>15</v>
      </c>
      <c r="BD128">
        <v>4</v>
      </c>
      <c r="BE128">
        <v>7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1</v>
      </c>
      <c r="BL128">
        <v>2</v>
      </c>
      <c r="BM128">
        <v>1</v>
      </c>
      <c r="BN128">
        <v>15</v>
      </c>
      <c r="BO128">
        <v>68</v>
      </c>
      <c r="BP128">
        <v>59</v>
      </c>
      <c r="BQ128">
        <v>2</v>
      </c>
      <c r="BR128">
        <v>2</v>
      </c>
      <c r="BS128">
        <v>3</v>
      </c>
      <c r="BT128">
        <v>1</v>
      </c>
      <c r="BU128">
        <v>0</v>
      </c>
      <c r="BV128">
        <v>0</v>
      </c>
      <c r="BW128">
        <v>0</v>
      </c>
      <c r="BX128">
        <v>0</v>
      </c>
      <c r="BY128">
        <v>1</v>
      </c>
      <c r="BZ128">
        <v>68</v>
      </c>
      <c r="CA128">
        <v>3</v>
      </c>
      <c r="CB128">
        <v>0</v>
      </c>
      <c r="CC128">
        <v>1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2</v>
      </c>
      <c r="CL128">
        <v>3</v>
      </c>
      <c r="CM128">
        <v>4</v>
      </c>
      <c r="CN128">
        <v>2</v>
      </c>
      <c r="CO128">
        <v>0</v>
      </c>
      <c r="CP128">
        <v>0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1</v>
      </c>
      <c r="CX128">
        <v>4</v>
      </c>
      <c r="CY128">
        <v>18</v>
      </c>
      <c r="CZ128">
        <v>12</v>
      </c>
      <c r="DA128">
        <v>1</v>
      </c>
      <c r="DB128">
        <v>0</v>
      </c>
      <c r="DC128">
        <v>1</v>
      </c>
      <c r="DD128">
        <v>1</v>
      </c>
      <c r="DE128">
        <v>1</v>
      </c>
      <c r="DF128">
        <v>0</v>
      </c>
      <c r="DG128">
        <v>1</v>
      </c>
      <c r="DH128">
        <v>1</v>
      </c>
      <c r="DI128">
        <v>0</v>
      </c>
      <c r="DJ128">
        <v>18</v>
      </c>
      <c r="DK128">
        <v>34</v>
      </c>
      <c r="DL128">
        <v>21</v>
      </c>
      <c r="DM128">
        <v>8</v>
      </c>
      <c r="DN128">
        <v>0</v>
      </c>
      <c r="DO128">
        <v>1</v>
      </c>
      <c r="DP128">
        <v>1</v>
      </c>
      <c r="DQ128">
        <v>0</v>
      </c>
      <c r="DR128">
        <v>1</v>
      </c>
      <c r="DS128">
        <v>0</v>
      </c>
      <c r="DT128">
        <v>0</v>
      </c>
      <c r="DU128">
        <v>2</v>
      </c>
      <c r="DV128">
        <v>34</v>
      </c>
      <c r="DW128">
        <v>32</v>
      </c>
      <c r="DX128">
        <v>5</v>
      </c>
      <c r="DY128">
        <v>0</v>
      </c>
      <c r="DZ128">
        <v>0</v>
      </c>
      <c r="EA128">
        <v>6</v>
      </c>
      <c r="EB128">
        <v>2</v>
      </c>
      <c r="EC128">
        <v>8</v>
      </c>
      <c r="ED128">
        <v>1</v>
      </c>
      <c r="EE128">
        <v>10</v>
      </c>
      <c r="EF128">
        <v>0</v>
      </c>
      <c r="EG128">
        <v>0</v>
      </c>
      <c r="EH128">
        <v>32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3</v>
      </c>
      <c r="ET128">
        <v>1</v>
      </c>
      <c r="EU128">
        <v>0</v>
      </c>
      <c r="EV128">
        <v>0</v>
      </c>
      <c r="EW128">
        <v>0</v>
      </c>
      <c r="EX128">
        <v>0</v>
      </c>
      <c r="EY128">
        <v>2</v>
      </c>
      <c r="EZ128">
        <v>0</v>
      </c>
      <c r="FA128">
        <v>0</v>
      </c>
      <c r="FB128">
        <v>0</v>
      </c>
      <c r="FC128">
        <v>0</v>
      </c>
      <c r="FD128">
        <v>3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</row>
    <row r="129" spans="1:172" ht="14.25">
      <c r="A129">
        <v>124</v>
      </c>
      <c r="B129" t="str">
        <f>"100408"</f>
        <v>100408</v>
      </c>
      <c r="C129" t="str">
        <f>"Witonia"</f>
        <v>Witonia</v>
      </c>
      <c r="D129" t="str">
        <f t="shared" si="24"/>
        <v>Łęczycki</v>
      </c>
      <c r="E129" t="str">
        <f t="shared" si="12"/>
        <v>łódzkie</v>
      </c>
      <c r="F129">
        <v>3</v>
      </c>
      <c r="G129" t="str">
        <f>"Świetlica OSP, Anusin 29, 99-335 Witonia"</f>
        <v>Świetlica OSP, Anusin 29, 99-335 Witonia</v>
      </c>
      <c r="H129">
        <v>411</v>
      </c>
      <c r="I129">
        <v>411</v>
      </c>
      <c r="J129">
        <v>0</v>
      </c>
      <c r="K129">
        <v>290</v>
      </c>
      <c r="L129">
        <v>214</v>
      </c>
      <c r="M129">
        <v>76</v>
      </c>
      <c r="N129">
        <v>76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76</v>
      </c>
      <c r="Z129">
        <v>0</v>
      </c>
      <c r="AA129">
        <v>0</v>
      </c>
      <c r="AB129">
        <v>76</v>
      </c>
      <c r="AC129">
        <v>6</v>
      </c>
      <c r="AD129">
        <v>70</v>
      </c>
      <c r="AE129">
        <v>5</v>
      </c>
      <c r="AF129">
        <v>5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5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6</v>
      </c>
      <c r="BD129">
        <v>3</v>
      </c>
      <c r="BE129">
        <v>1</v>
      </c>
      <c r="BF129">
        <v>0</v>
      </c>
      <c r="BG129">
        <v>1</v>
      </c>
      <c r="BH129">
        <v>0</v>
      </c>
      <c r="BI129">
        <v>1</v>
      </c>
      <c r="BJ129">
        <v>0</v>
      </c>
      <c r="BK129">
        <v>0</v>
      </c>
      <c r="BL129">
        <v>0</v>
      </c>
      <c r="BM129">
        <v>0</v>
      </c>
      <c r="BN129">
        <v>6</v>
      </c>
      <c r="BO129">
        <v>19</v>
      </c>
      <c r="BP129">
        <v>17</v>
      </c>
      <c r="BQ129">
        <v>1</v>
      </c>
      <c r="BR129">
        <v>0</v>
      </c>
      <c r="BS129">
        <v>0</v>
      </c>
      <c r="BT129">
        <v>0</v>
      </c>
      <c r="BU129">
        <v>0</v>
      </c>
      <c r="BV129">
        <v>1</v>
      </c>
      <c r="BW129">
        <v>0</v>
      </c>
      <c r="BX129">
        <v>0</v>
      </c>
      <c r="BY129">
        <v>0</v>
      </c>
      <c r="BZ129">
        <v>19</v>
      </c>
      <c r="CA129">
        <v>2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1</v>
      </c>
      <c r="CK129">
        <v>1</v>
      </c>
      <c r="CL129">
        <v>2</v>
      </c>
      <c r="CM129">
        <v>1</v>
      </c>
      <c r="CN129">
        <v>1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1</v>
      </c>
      <c r="CY129">
        <v>9</v>
      </c>
      <c r="CZ129">
        <v>6</v>
      </c>
      <c r="DA129">
        <v>0</v>
      </c>
      <c r="DB129">
        <v>0</v>
      </c>
      <c r="DC129">
        <v>0</v>
      </c>
      <c r="DD129">
        <v>1</v>
      </c>
      <c r="DE129">
        <v>0</v>
      </c>
      <c r="DF129">
        <v>1</v>
      </c>
      <c r="DG129">
        <v>1</v>
      </c>
      <c r="DH129">
        <v>0</v>
      </c>
      <c r="DI129">
        <v>0</v>
      </c>
      <c r="DJ129">
        <v>9</v>
      </c>
      <c r="DK129">
        <v>6</v>
      </c>
      <c r="DL129">
        <v>4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1</v>
      </c>
      <c r="DS129">
        <v>0</v>
      </c>
      <c r="DT129">
        <v>0</v>
      </c>
      <c r="DU129">
        <v>1</v>
      </c>
      <c r="DV129">
        <v>6</v>
      </c>
      <c r="DW129">
        <v>21</v>
      </c>
      <c r="DX129">
        <v>5</v>
      </c>
      <c r="DY129">
        <v>0</v>
      </c>
      <c r="DZ129">
        <v>2</v>
      </c>
      <c r="EA129">
        <v>0</v>
      </c>
      <c r="EB129">
        <v>1</v>
      </c>
      <c r="EC129">
        <v>0</v>
      </c>
      <c r="ED129">
        <v>4</v>
      </c>
      <c r="EE129">
        <v>1</v>
      </c>
      <c r="EF129">
        <v>6</v>
      </c>
      <c r="EG129">
        <v>2</v>
      </c>
      <c r="EH129">
        <v>21</v>
      </c>
      <c r="EI129">
        <v>1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1</v>
      </c>
      <c r="EQ129">
        <v>0</v>
      </c>
      <c r="ER129">
        <v>1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</row>
    <row r="130" spans="1:172" ht="14.25">
      <c r="A130">
        <v>125</v>
      </c>
      <c r="B130" t="str">
        <f>"100408"</f>
        <v>100408</v>
      </c>
      <c r="C130" t="str">
        <f>"Witonia"</f>
        <v>Witonia</v>
      </c>
      <c r="D130" t="str">
        <f t="shared" si="24"/>
        <v>Łęczycki</v>
      </c>
      <c r="E130" t="str">
        <f t="shared" si="12"/>
        <v>łódzkie</v>
      </c>
      <c r="F130">
        <v>4</v>
      </c>
      <c r="G130" t="str">
        <f>"Świetlica wiejska, Gozdków 2, 99-335 Witonia"</f>
        <v>Świetlica wiejska, Gozdków 2, 99-335 Witonia</v>
      </c>
      <c r="H130">
        <v>537</v>
      </c>
      <c r="I130">
        <v>537</v>
      </c>
      <c r="J130">
        <v>0</v>
      </c>
      <c r="K130">
        <v>380</v>
      </c>
      <c r="L130">
        <v>308</v>
      </c>
      <c r="M130">
        <v>72</v>
      </c>
      <c r="N130">
        <v>72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72</v>
      </c>
      <c r="Z130">
        <v>0</v>
      </c>
      <c r="AA130">
        <v>0</v>
      </c>
      <c r="AB130">
        <v>72</v>
      </c>
      <c r="AC130">
        <v>9</v>
      </c>
      <c r="AD130">
        <v>63</v>
      </c>
      <c r="AE130">
        <v>5</v>
      </c>
      <c r="AF130">
        <v>4</v>
      </c>
      <c r="AG130">
        <v>1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5</v>
      </c>
      <c r="AQ130">
        <v>1</v>
      </c>
      <c r="AR130">
        <v>0</v>
      </c>
      <c r="AS130">
        <v>1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2</v>
      </c>
      <c r="BD130">
        <v>1</v>
      </c>
      <c r="BE130">
        <v>0</v>
      </c>
      <c r="BF130">
        <v>0</v>
      </c>
      <c r="BG130">
        <v>0</v>
      </c>
      <c r="BH130">
        <v>0</v>
      </c>
      <c r="BI130">
        <v>1</v>
      </c>
      <c r="BJ130">
        <v>0</v>
      </c>
      <c r="BK130">
        <v>0</v>
      </c>
      <c r="BL130">
        <v>0</v>
      </c>
      <c r="BM130">
        <v>0</v>
      </c>
      <c r="BN130">
        <v>2</v>
      </c>
      <c r="BO130">
        <v>34</v>
      </c>
      <c r="BP130">
        <v>28</v>
      </c>
      <c r="BQ130">
        <v>1</v>
      </c>
      <c r="BR130">
        <v>0</v>
      </c>
      <c r="BS130">
        <v>4</v>
      </c>
      <c r="BT130">
        <v>1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34</v>
      </c>
      <c r="CA130">
        <v>2</v>
      </c>
      <c r="CB130">
        <v>0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1</v>
      </c>
      <c r="CJ130">
        <v>0</v>
      </c>
      <c r="CK130">
        <v>0</v>
      </c>
      <c r="CL130">
        <v>2</v>
      </c>
      <c r="CM130">
        <v>4</v>
      </c>
      <c r="CN130">
        <v>2</v>
      </c>
      <c r="CO130">
        <v>0</v>
      </c>
      <c r="CP130">
        <v>0</v>
      </c>
      <c r="CQ130">
        <v>0</v>
      </c>
      <c r="CR130">
        <v>1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4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3</v>
      </c>
      <c r="DL130">
        <v>1</v>
      </c>
      <c r="DM130">
        <v>0</v>
      </c>
      <c r="DN130">
        <v>0</v>
      </c>
      <c r="DO130">
        <v>1</v>
      </c>
      <c r="DP130">
        <v>0</v>
      </c>
      <c r="DQ130">
        <v>0</v>
      </c>
      <c r="DR130">
        <v>0</v>
      </c>
      <c r="DS130">
        <v>0</v>
      </c>
      <c r="DT130">
        <v>1</v>
      </c>
      <c r="DU130">
        <v>0</v>
      </c>
      <c r="DV130">
        <v>3</v>
      </c>
      <c r="DW130">
        <v>12</v>
      </c>
      <c r="DX130">
        <v>1</v>
      </c>
      <c r="DY130">
        <v>2</v>
      </c>
      <c r="DZ130">
        <v>0</v>
      </c>
      <c r="EA130">
        <v>0</v>
      </c>
      <c r="EB130">
        <v>1</v>
      </c>
      <c r="EC130">
        <v>4</v>
      </c>
      <c r="ED130">
        <v>0</v>
      </c>
      <c r="EE130">
        <v>1</v>
      </c>
      <c r="EF130">
        <v>3</v>
      </c>
      <c r="EG130">
        <v>0</v>
      </c>
      <c r="EH130">
        <v>12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</row>
    <row r="131" spans="1:172" ht="14.25">
      <c r="A131">
        <v>126</v>
      </c>
      <c r="B131" t="str">
        <f aca="true" t="shared" si="25" ref="B131:B153">"100501"</f>
        <v>100501</v>
      </c>
      <c r="C131" t="str">
        <f aca="true" t="shared" si="26" ref="C131:C153">"m. Łowicz"</f>
        <v>m. Łowicz</v>
      </c>
      <c r="D131" t="str">
        <f aca="true" t="shared" si="27" ref="D131:D162">"Łowicki"</f>
        <v>Łowicki</v>
      </c>
      <c r="E131" t="str">
        <f t="shared" si="12"/>
        <v>łódzkie</v>
      </c>
      <c r="F131">
        <v>1</v>
      </c>
      <c r="G131" t="str">
        <f>"Zespół Szkół, ul. Grunwaldzka 9, 99-400 Łowicz"</f>
        <v>Zespół Szkół, ul. Grunwaldzka 9, 99-400 Łowicz</v>
      </c>
      <c r="H131">
        <v>1296</v>
      </c>
      <c r="I131">
        <v>1296</v>
      </c>
      <c r="J131">
        <v>0</v>
      </c>
      <c r="K131">
        <v>910</v>
      </c>
      <c r="L131">
        <v>586</v>
      </c>
      <c r="M131">
        <v>324</v>
      </c>
      <c r="N131">
        <v>324</v>
      </c>
      <c r="O131">
        <v>0</v>
      </c>
      <c r="P131">
        <v>0</v>
      </c>
      <c r="Q131">
        <v>2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324</v>
      </c>
      <c r="Z131">
        <v>0</v>
      </c>
      <c r="AA131">
        <v>0</v>
      </c>
      <c r="AB131">
        <v>324</v>
      </c>
      <c r="AC131">
        <v>7</v>
      </c>
      <c r="AD131">
        <v>317</v>
      </c>
      <c r="AE131">
        <v>2</v>
      </c>
      <c r="AF131">
        <v>1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1</v>
      </c>
      <c r="AM131">
        <v>0</v>
      </c>
      <c r="AN131">
        <v>0</v>
      </c>
      <c r="AO131">
        <v>0</v>
      </c>
      <c r="AP131">
        <v>2</v>
      </c>
      <c r="AQ131">
        <v>5</v>
      </c>
      <c r="AR131">
        <v>2</v>
      </c>
      <c r="AS131">
        <v>1</v>
      </c>
      <c r="AT131">
        <v>1</v>
      </c>
      <c r="AU131">
        <v>0</v>
      </c>
      <c r="AV131">
        <v>0</v>
      </c>
      <c r="AW131">
        <v>1</v>
      </c>
      <c r="AX131">
        <v>0</v>
      </c>
      <c r="AY131">
        <v>0</v>
      </c>
      <c r="AZ131">
        <v>0</v>
      </c>
      <c r="BA131">
        <v>0</v>
      </c>
      <c r="BB131">
        <v>5</v>
      </c>
      <c r="BC131">
        <v>17</v>
      </c>
      <c r="BD131">
        <v>7</v>
      </c>
      <c r="BE131">
        <v>0</v>
      </c>
      <c r="BF131">
        <v>0</v>
      </c>
      <c r="BG131">
        <v>3</v>
      </c>
      <c r="BH131">
        <v>2</v>
      </c>
      <c r="BI131">
        <v>1</v>
      </c>
      <c r="BJ131">
        <v>1</v>
      </c>
      <c r="BK131">
        <v>1</v>
      </c>
      <c r="BL131">
        <v>1</v>
      </c>
      <c r="BM131">
        <v>1</v>
      </c>
      <c r="BN131">
        <v>17</v>
      </c>
      <c r="BO131">
        <v>117</v>
      </c>
      <c r="BP131">
        <v>87</v>
      </c>
      <c r="BQ131">
        <v>1</v>
      </c>
      <c r="BR131">
        <v>2</v>
      </c>
      <c r="BS131">
        <v>3</v>
      </c>
      <c r="BT131">
        <v>2</v>
      </c>
      <c r="BU131">
        <v>18</v>
      </c>
      <c r="BV131">
        <v>1</v>
      </c>
      <c r="BW131">
        <v>1</v>
      </c>
      <c r="BX131">
        <v>0</v>
      </c>
      <c r="BY131">
        <v>2</v>
      </c>
      <c r="BZ131">
        <v>117</v>
      </c>
      <c r="CA131">
        <v>5</v>
      </c>
      <c r="CB131">
        <v>0</v>
      </c>
      <c r="CC131">
        <v>1</v>
      </c>
      <c r="CD131">
        <v>1</v>
      </c>
      <c r="CE131">
        <v>1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0</v>
      </c>
      <c r="CL131">
        <v>5</v>
      </c>
      <c r="CM131">
        <v>14</v>
      </c>
      <c r="CN131">
        <v>4</v>
      </c>
      <c r="CO131">
        <v>1</v>
      </c>
      <c r="CP131">
        <v>0</v>
      </c>
      <c r="CQ131">
        <v>9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14</v>
      </c>
      <c r="CY131">
        <v>61</v>
      </c>
      <c r="CZ131">
        <v>39</v>
      </c>
      <c r="DA131">
        <v>6</v>
      </c>
      <c r="DB131">
        <v>4</v>
      </c>
      <c r="DC131">
        <v>1</v>
      </c>
      <c r="DD131">
        <v>2</v>
      </c>
      <c r="DE131">
        <v>4</v>
      </c>
      <c r="DF131">
        <v>1</v>
      </c>
      <c r="DG131">
        <v>1</v>
      </c>
      <c r="DH131">
        <v>1</v>
      </c>
      <c r="DI131">
        <v>2</v>
      </c>
      <c r="DJ131">
        <v>61</v>
      </c>
      <c r="DK131">
        <v>64</v>
      </c>
      <c r="DL131">
        <v>43</v>
      </c>
      <c r="DM131">
        <v>12</v>
      </c>
      <c r="DN131">
        <v>1</v>
      </c>
      <c r="DO131">
        <v>0</v>
      </c>
      <c r="DP131">
        <v>1</v>
      </c>
      <c r="DQ131">
        <v>0</v>
      </c>
      <c r="DR131">
        <v>1</v>
      </c>
      <c r="DS131">
        <v>2</v>
      </c>
      <c r="DT131">
        <v>1</v>
      </c>
      <c r="DU131">
        <v>3</v>
      </c>
      <c r="DV131">
        <v>64</v>
      </c>
      <c r="DW131">
        <v>30</v>
      </c>
      <c r="DX131">
        <v>2</v>
      </c>
      <c r="DY131">
        <v>1</v>
      </c>
      <c r="DZ131">
        <v>0</v>
      </c>
      <c r="EA131">
        <v>25</v>
      </c>
      <c r="EB131">
        <v>0</v>
      </c>
      <c r="EC131">
        <v>0</v>
      </c>
      <c r="ED131">
        <v>1</v>
      </c>
      <c r="EE131">
        <v>0</v>
      </c>
      <c r="EF131">
        <v>1</v>
      </c>
      <c r="EG131">
        <v>0</v>
      </c>
      <c r="EH131">
        <v>30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2</v>
      </c>
      <c r="ET131">
        <v>1</v>
      </c>
      <c r="EU131">
        <v>1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2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</row>
    <row r="132" spans="1:172" ht="14.25">
      <c r="A132">
        <v>127</v>
      </c>
      <c r="B132" t="str">
        <f t="shared" si="25"/>
        <v>100501</v>
      </c>
      <c r="C132" t="str">
        <f t="shared" si="26"/>
        <v>m. Łowicz</v>
      </c>
      <c r="D132" t="str">
        <f t="shared" si="27"/>
        <v>Łowicki</v>
      </c>
      <c r="E132" t="str">
        <f t="shared" si="12"/>
        <v>łódzkie</v>
      </c>
      <c r="F132">
        <v>2</v>
      </c>
      <c r="G132" t="str">
        <f>"Zespół Szkół, ul. Grunwaldzka 9, 99-400 Łowicz"</f>
        <v>Zespół Szkół, ul. Grunwaldzka 9, 99-400 Łowicz</v>
      </c>
      <c r="H132">
        <v>1190</v>
      </c>
      <c r="I132">
        <v>1190</v>
      </c>
      <c r="J132">
        <v>0</v>
      </c>
      <c r="K132">
        <v>840</v>
      </c>
      <c r="L132">
        <v>685</v>
      </c>
      <c r="M132">
        <v>155</v>
      </c>
      <c r="N132">
        <v>155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155</v>
      </c>
      <c r="Z132">
        <v>0</v>
      </c>
      <c r="AA132">
        <v>0</v>
      </c>
      <c r="AB132">
        <v>155</v>
      </c>
      <c r="AC132">
        <v>7</v>
      </c>
      <c r="AD132">
        <v>148</v>
      </c>
      <c r="AE132">
        <v>6</v>
      </c>
      <c r="AF132">
        <v>2</v>
      </c>
      <c r="AG132">
        <v>2</v>
      </c>
      <c r="AH132">
        <v>0</v>
      </c>
      <c r="AI132">
        <v>0</v>
      </c>
      <c r="AJ132">
        <v>0</v>
      </c>
      <c r="AK132">
        <v>0</v>
      </c>
      <c r="AL132">
        <v>1</v>
      </c>
      <c r="AM132">
        <v>0</v>
      </c>
      <c r="AN132">
        <v>1</v>
      </c>
      <c r="AO132">
        <v>0</v>
      </c>
      <c r="AP132">
        <v>6</v>
      </c>
      <c r="AQ132">
        <v>2</v>
      </c>
      <c r="AR132">
        <v>1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1</v>
      </c>
      <c r="BB132">
        <v>2</v>
      </c>
      <c r="BC132">
        <v>9</v>
      </c>
      <c r="BD132">
        <v>5</v>
      </c>
      <c r="BE132">
        <v>2</v>
      </c>
      <c r="BF132">
        <v>2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9</v>
      </c>
      <c r="BO132">
        <v>51</v>
      </c>
      <c r="BP132">
        <v>35</v>
      </c>
      <c r="BQ132">
        <v>0</v>
      </c>
      <c r="BR132">
        <v>4</v>
      </c>
      <c r="BS132">
        <v>1</v>
      </c>
      <c r="BT132">
        <v>1</v>
      </c>
      <c r="BU132">
        <v>4</v>
      </c>
      <c r="BV132">
        <v>0</v>
      </c>
      <c r="BW132">
        <v>0</v>
      </c>
      <c r="BX132">
        <v>4</v>
      </c>
      <c r="BY132">
        <v>2</v>
      </c>
      <c r="BZ132">
        <v>51</v>
      </c>
      <c r="CA132">
        <v>4</v>
      </c>
      <c r="CB132">
        <v>1</v>
      </c>
      <c r="CC132">
        <v>1</v>
      </c>
      <c r="CD132">
        <v>0</v>
      </c>
      <c r="CE132">
        <v>1</v>
      </c>
      <c r="CF132">
        <v>0</v>
      </c>
      <c r="CG132">
        <v>0</v>
      </c>
      <c r="CH132">
        <v>0</v>
      </c>
      <c r="CI132">
        <v>0</v>
      </c>
      <c r="CJ132">
        <v>1</v>
      </c>
      <c r="CK132">
        <v>0</v>
      </c>
      <c r="CL132">
        <v>4</v>
      </c>
      <c r="CM132">
        <v>8</v>
      </c>
      <c r="CN132">
        <v>1</v>
      </c>
      <c r="CO132">
        <v>0</v>
      </c>
      <c r="CP132">
        <v>0</v>
      </c>
      <c r="CQ132">
        <v>7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8</v>
      </c>
      <c r="CY132">
        <v>20</v>
      </c>
      <c r="CZ132">
        <v>11</v>
      </c>
      <c r="DA132">
        <v>1</v>
      </c>
      <c r="DB132">
        <v>1</v>
      </c>
      <c r="DC132">
        <v>3</v>
      </c>
      <c r="DD132">
        <v>0</v>
      </c>
      <c r="DE132">
        <v>2</v>
      </c>
      <c r="DF132">
        <v>0</v>
      </c>
      <c r="DG132">
        <v>0</v>
      </c>
      <c r="DH132">
        <v>2</v>
      </c>
      <c r="DI132">
        <v>0</v>
      </c>
      <c r="DJ132">
        <v>20</v>
      </c>
      <c r="DK132">
        <v>33</v>
      </c>
      <c r="DL132">
        <v>22</v>
      </c>
      <c r="DM132">
        <v>9</v>
      </c>
      <c r="DN132">
        <v>0</v>
      </c>
      <c r="DO132">
        <v>1</v>
      </c>
      <c r="DP132">
        <v>1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33</v>
      </c>
      <c r="DW132">
        <v>11</v>
      </c>
      <c r="DX132">
        <v>0</v>
      </c>
      <c r="DY132">
        <v>0</v>
      </c>
      <c r="DZ132">
        <v>0</v>
      </c>
      <c r="EA132">
        <v>11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11</v>
      </c>
      <c r="EI132">
        <v>2</v>
      </c>
      <c r="EJ132">
        <v>0</v>
      </c>
      <c r="EK132">
        <v>2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2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2</v>
      </c>
      <c r="FF132">
        <v>0</v>
      </c>
      <c r="FG132">
        <v>0</v>
      </c>
      <c r="FH132">
        <v>0</v>
      </c>
      <c r="FI132">
        <v>0</v>
      </c>
      <c r="FJ132">
        <v>1</v>
      </c>
      <c r="FK132">
        <v>0</v>
      </c>
      <c r="FL132">
        <v>0</v>
      </c>
      <c r="FM132">
        <v>0</v>
      </c>
      <c r="FN132">
        <v>0</v>
      </c>
      <c r="FO132">
        <v>1</v>
      </c>
      <c r="FP132">
        <v>2</v>
      </c>
    </row>
    <row r="133" spans="1:172" ht="14.25">
      <c r="A133">
        <v>128</v>
      </c>
      <c r="B133" t="str">
        <f t="shared" si="25"/>
        <v>100501</v>
      </c>
      <c r="C133" t="str">
        <f t="shared" si="26"/>
        <v>m. Łowicz</v>
      </c>
      <c r="D133" t="str">
        <f t="shared" si="27"/>
        <v>Łowicki</v>
      </c>
      <c r="E133" t="str">
        <f t="shared" si="12"/>
        <v>łódzkie</v>
      </c>
      <c r="F133">
        <v>3</v>
      </c>
      <c r="G133" t="str">
        <f>"Przedszkole nr 5, ul. Chełmońskiego 4, 99-400 Łowicz"</f>
        <v>Przedszkole nr 5, ul. Chełmońskiego 4, 99-400 Łowicz</v>
      </c>
      <c r="H133">
        <v>1354</v>
      </c>
      <c r="I133">
        <v>1354</v>
      </c>
      <c r="J133">
        <v>0</v>
      </c>
      <c r="K133">
        <v>960</v>
      </c>
      <c r="L133">
        <v>622</v>
      </c>
      <c r="M133">
        <v>338</v>
      </c>
      <c r="N133">
        <v>338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338</v>
      </c>
      <c r="Z133">
        <v>0</v>
      </c>
      <c r="AA133">
        <v>0</v>
      </c>
      <c r="AB133">
        <v>338</v>
      </c>
      <c r="AC133">
        <v>14</v>
      </c>
      <c r="AD133">
        <v>324</v>
      </c>
      <c r="AE133">
        <v>10</v>
      </c>
      <c r="AF133">
        <v>4</v>
      </c>
      <c r="AG133">
        <v>0</v>
      </c>
      <c r="AH133">
        <v>0</v>
      </c>
      <c r="AI133">
        <v>2</v>
      </c>
      <c r="AJ133">
        <v>1</v>
      </c>
      <c r="AK133">
        <v>0</v>
      </c>
      <c r="AL133">
        <v>2</v>
      </c>
      <c r="AM133">
        <v>0</v>
      </c>
      <c r="AN133">
        <v>1</v>
      </c>
      <c r="AO133">
        <v>0</v>
      </c>
      <c r="AP133">
        <v>10</v>
      </c>
      <c r="AQ133">
        <v>4</v>
      </c>
      <c r="AR133">
        <v>1</v>
      </c>
      <c r="AS133">
        <v>1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1</v>
      </c>
      <c r="AZ133">
        <v>1</v>
      </c>
      <c r="BA133">
        <v>0</v>
      </c>
      <c r="BB133">
        <v>4</v>
      </c>
      <c r="BC133">
        <v>18</v>
      </c>
      <c r="BD133">
        <v>11</v>
      </c>
      <c r="BE133">
        <v>0</v>
      </c>
      <c r="BF133">
        <v>1</v>
      </c>
      <c r="BG133">
        <v>0</v>
      </c>
      <c r="BH133">
        <v>1</v>
      </c>
      <c r="BI133">
        <v>1</v>
      </c>
      <c r="BJ133">
        <v>0</v>
      </c>
      <c r="BK133">
        <v>1</v>
      </c>
      <c r="BL133">
        <v>2</v>
      </c>
      <c r="BM133">
        <v>1</v>
      </c>
      <c r="BN133">
        <v>18</v>
      </c>
      <c r="BO133">
        <v>112</v>
      </c>
      <c r="BP133">
        <v>90</v>
      </c>
      <c r="BQ133">
        <v>2</v>
      </c>
      <c r="BR133">
        <v>10</v>
      </c>
      <c r="BS133">
        <v>1</v>
      </c>
      <c r="BT133">
        <v>0</v>
      </c>
      <c r="BU133">
        <v>8</v>
      </c>
      <c r="BV133">
        <v>0</v>
      </c>
      <c r="BW133">
        <v>0</v>
      </c>
      <c r="BX133">
        <v>0</v>
      </c>
      <c r="BY133">
        <v>1</v>
      </c>
      <c r="BZ133">
        <v>112</v>
      </c>
      <c r="CA133">
        <v>5</v>
      </c>
      <c r="CB133">
        <v>2</v>
      </c>
      <c r="CC133">
        <v>2</v>
      </c>
      <c r="CD133">
        <v>0</v>
      </c>
      <c r="CE133">
        <v>1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5</v>
      </c>
      <c r="CM133">
        <v>20</v>
      </c>
      <c r="CN133">
        <v>4</v>
      </c>
      <c r="CO133">
        <v>0</v>
      </c>
      <c r="CP133">
        <v>0</v>
      </c>
      <c r="CQ133">
        <v>14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20</v>
      </c>
      <c r="CY133">
        <v>32</v>
      </c>
      <c r="CZ133">
        <v>21</v>
      </c>
      <c r="DA133">
        <v>1</v>
      </c>
      <c r="DB133">
        <v>2</v>
      </c>
      <c r="DC133">
        <v>0</v>
      </c>
      <c r="DD133">
        <v>0</v>
      </c>
      <c r="DE133">
        <v>0</v>
      </c>
      <c r="DF133">
        <v>4</v>
      </c>
      <c r="DG133">
        <v>2</v>
      </c>
      <c r="DH133">
        <v>2</v>
      </c>
      <c r="DI133">
        <v>0</v>
      </c>
      <c r="DJ133">
        <v>32</v>
      </c>
      <c r="DK133">
        <v>85</v>
      </c>
      <c r="DL133">
        <v>60</v>
      </c>
      <c r="DM133">
        <v>15</v>
      </c>
      <c r="DN133">
        <v>1</v>
      </c>
      <c r="DO133">
        <v>1</v>
      </c>
      <c r="DP133">
        <v>0</v>
      </c>
      <c r="DQ133">
        <v>2</v>
      </c>
      <c r="DR133">
        <v>2</v>
      </c>
      <c r="DS133">
        <v>2</v>
      </c>
      <c r="DT133">
        <v>0</v>
      </c>
      <c r="DU133">
        <v>2</v>
      </c>
      <c r="DV133">
        <v>85</v>
      </c>
      <c r="DW133">
        <v>30</v>
      </c>
      <c r="DX133">
        <v>1</v>
      </c>
      <c r="DY133">
        <v>0</v>
      </c>
      <c r="DZ133">
        <v>0</v>
      </c>
      <c r="EA133">
        <v>28</v>
      </c>
      <c r="EB133">
        <v>0</v>
      </c>
      <c r="EC133">
        <v>1</v>
      </c>
      <c r="ED133">
        <v>0</v>
      </c>
      <c r="EE133">
        <v>0</v>
      </c>
      <c r="EF133">
        <v>0</v>
      </c>
      <c r="EG133">
        <v>0</v>
      </c>
      <c r="EH133">
        <v>30</v>
      </c>
      <c r="EI133">
        <v>4</v>
      </c>
      <c r="EJ133">
        <v>0</v>
      </c>
      <c r="EK133">
        <v>4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4</v>
      </c>
      <c r="ES133">
        <v>1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1</v>
      </c>
      <c r="FD133">
        <v>1</v>
      </c>
      <c r="FE133">
        <v>3</v>
      </c>
      <c r="FF133">
        <v>0</v>
      </c>
      <c r="FG133">
        <v>1</v>
      </c>
      <c r="FH133">
        <v>1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1</v>
      </c>
      <c r="FP133">
        <v>3</v>
      </c>
    </row>
    <row r="134" spans="1:172" ht="14.25">
      <c r="A134">
        <v>129</v>
      </c>
      <c r="B134" t="str">
        <f t="shared" si="25"/>
        <v>100501</v>
      </c>
      <c r="C134" t="str">
        <f t="shared" si="26"/>
        <v>m. Łowicz</v>
      </c>
      <c r="D134" t="str">
        <f t="shared" si="27"/>
        <v>Łowicki</v>
      </c>
      <c r="E134" t="str">
        <f aca="true" t="shared" si="28" ref="E134:E197">"łódzkie"</f>
        <v>łódzkie</v>
      </c>
      <c r="F134">
        <v>4</v>
      </c>
      <c r="G134" t="str">
        <f>"Przedszkole nr 3, ul.3 Maja 4, 99-400 Łowicz"</f>
        <v>Przedszkole nr 3, ul.3 Maja 4, 99-400 Łowicz</v>
      </c>
      <c r="H134">
        <v>1360</v>
      </c>
      <c r="I134">
        <v>1360</v>
      </c>
      <c r="J134">
        <v>0</v>
      </c>
      <c r="K134">
        <v>960</v>
      </c>
      <c r="L134">
        <v>635</v>
      </c>
      <c r="M134">
        <v>325</v>
      </c>
      <c r="N134">
        <v>325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325</v>
      </c>
      <c r="Z134">
        <v>0</v>
      </c>
      <c r="AA134">
        <v>0</v>
      </c>
      <c r="AB134">
        <v>325</v>
      </c>
      <c r="AC134">
        <v>18</v>
      </c>
      <c r="AD134">
        <v>307</v>
      </c>
      <c r="AE134">
        <v>7</v>
      </c>
      <c r="AF134">
        <v>4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3</v>
      </c>
      <c r="AM134">
        <v>0</v>
      </c>
      <c r="AN134">
        <v>0</v>
      </c>
      <c r="AO134">
        <v>0</v>
      </c>
      <c r="AP134">
        <v>7</v>
      </c>
      <c r="AQ134">
        <v>4</v>
      </c>
      <c r="AR134">
        <v>2</v>
      </c>
      <c r="AS134">
        <v>0</v>
      </c>
      <c r="AT134">
        <v>1</v>
      </c>
      <c r="AU134">
        <v>0</v>
      </c>
      <c r="AV134">
        <v>0</v>
      </c>
      <c r="AW134">
        <v>0</v>
      </c>
      <c r="AX134">
        <v>1</v>
      </c>
      <c r="AY134">
        <v>0</v>
      </c>
      <c r="AZ134">
        <v>0</v>
      </c>
      <c r="BA134">
        <v>0</v>
      </c>
      <c r="BB134">
        <v>4</v>
      </c>
      <c r="BC134">
        <v>27</v>
      </c>
      <c r="BD134">
        <v>17</v>
      </c>
      <c r="BE134">
        <v>2</v>
      </c>
      <c r="BF134">
        <v>0</v>
      </c>
      <c r="BG134">
        <v>1</v>
      </c>
      <c r="BH134">
        <v>1</v>
      </c>
      <c r="BI134">
        <v>1</v>
      </c>
      <c r="BJ134">
        <v>1</v>
      </c>
      <c r="BK134">
        <v>1</v>
      </c>
      <c r="BL134">
        <v>1</v>
      </c>
      <c r="BM134">
        <v>2</v>
      </c>
      <c r="BN134">
        <v>27</v>
      </c>
      <c r="BO134">
        <v>99</v>
      </c>
      <c r="BP134">
        <v>75</v>
      </c>
      <c r="BQ134">
        <v>5</v>
      </c>
      <c r="BR134">
        <v>5</v>
      </c>
      <c r="BS134">
        <v>2</v>
      </c>
      <c r="BT134">
        <v>2</v>
      </c>
      <c r="BU134">
        <v>3</v>
      </c>
      <c r="BV134">
        <v>2</v>
      </c>
      <c r="BW134">
        <v>0</v>
      </c>
      <c r="BX134">
        <v>1</v>
      </c>
      <c r="BY134">
        <v>4</v>
      </c>
      <c r="BZ134">
        <v>99</v>
      </c>
      <c r="CA134">
        <v>5</v>
      </c>
      <c r="CB134">
        <v>3</v>
      </c>
      <c r="CC134">
        <v>1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1</v>
      </c>
      <c r="CJ134">
        <v>0</v>
      </c>
      <c r="CK134">
        <v>0</v>
      </c>
      <c r="CL134">
        <v>5</v>
      </c>
      <c r="CM134">
        <v>16</v>
      </c>
      <c r="CN134">
        <v>4</v>
      </c>
      <c r="CO134">
        <v>0</v>
      </c>
      <c r="CP134">
        <v>0</v>
      </c>
      <c r="CQ134">
        <v>12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16</v>
      </c>
      <c r="CY134">
        <v>22</v>
      </c>
      <c r="CZ134">
        <v>13</v>
      </c>
      <c r="DA134">
        <v>1</v>
      </c>
      <c r="DB134">
        <v>3</v>
      </c>
      <c r="DC134">
        <v>0</v>
      </c>
      <c r="DD134">
        <v>0</v>
      </c>
      <c r="DE134">
        <v>2</v>
      </c>
      <c r="DF134">
        <v>0</v>
      </c>
      <c r="DG134">
        <v>2</v>
      </c>
      <c r="DH134">
        <v>1</v>
      </c>
      <c r="DI134">
        <v>0</v>
      </c>
      <c r="DJ134">
        <v>22</v>
      </c>
      <c r="DK134">
        <v>66</v>
      </c>
      <c r="DL134">
        <v>51</v>
      </c>
      <c r="DM134">
        <v>10</v>
      </c>
      <c r="DN134">
        <v>2</v>
      </c>
      <c r="DO134">
        <v>0</v>
      </c>
      <c r="DP134">
        <v>0</v>
      </c>
      <c r="DQ134">
        <v>0</v>
      </c>
      <c r="DR134">
        <v>2</v>
      </c>
      <c r="DS134">
        <v>1</v>
      </c>
      <c r="DT134">
        <v>0</v>
      </c>
      <c r="DU134">
        <v>0</v>
      </c>
      <c r="DV134">
        <v>66</v>
      </c>
      <c r="DW134">
        <v>60</v>
      </c>
      <c r="DX134">
        <v>0</v>
      </c>
      <c r="DY134">
        <v>1</v>
      </c>
      <c r="DZ134">
        <v>0</v>
      </c>
      <c r="EA134">
        <v>59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60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1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1</v>
      </c>
      <c r="FN134">
        <v>0</v>
      </c>
      <c r="FO134">
        <v>0</v>
      </c>
      <c r="FP134">
        <v>1</v>
      </c>
    </row>
    <row r="135" spans="1:172" ht="14.25">
      <c r="A135">
        <v>130</v>
      </c>
      <c r="B135" t="str">
        <f t="shared" si="25"/>
        <v>100501</v>
      </c>
      <c r="C135" t="str">
        <f t="shared" si="26"/>
        <v>m. Łowicz</v>
      </c>
      <c r="D135" t="str">
        <f t="shared" si="27"/>
        <v>Łowicki</v>
      </c>
      <c r="E135" t="str">
        <f t="shared" si="28"/>
        <v>łódzkie</v>
      </c>
      <c r="F135">
        <v>5</v>
      </c>
      <c r="G135" t="str">
        <f>"Budynek zaplecza boiska Ośrodka Sportu i Rekreacji, ul. Bolimowska 15/19, 99-400 Łowicz"</f>
        <v>Budynek zaplecza boiska Ośrodka Sportu i Rekreacji, ul. Bolimowska 15/19, 99-400 Łowicz</v>
      </c>
      <c r="H135">
        <v>1344</v>
      </c>
      <c r="I135">
        <v>1344</v>
      </c>
      <c r="J135">
        <v>0</v>
      </c>
      <c r="K135">
        <v>960</v>
      </c>
      <c r="L135">
        <v>555</v>
      </c>
      <c r="M135">
        <v>405</v>
      </c>
      <c r="N135">
        <v>405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405</v>
      </c>
      <c r="Z135">
        <v>0</v>
      </c>
      <c r="AA135">
        <v>0</v>
      </c>
      <c r="AB135">
        <v>405</v>
      </c>
      <c r="AC135">
        <v>10</v>
      </c>
      <c r="AD135">
        <v>395</v>
      </c>
      <c r="AE135">
        <v>11</v>
      </c>
      <c r="AF135">
        <v>10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1</v>
      </c>
      <c r="AM135">
        <v>0</v>
      </c>
      <c r="AN135">
        <v>0</v>
      </c>
      <c r="AO135">
        <v>0</v>
      </c>
      <c r="AP135">
        <v>11</v>
      </c>
      <c r="AQ135">
        <v>1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1</v>
      </c>
      <c r="BB135">
        <v>1</v>
      </c>
      <c r="BC135">
        <v>37</v>
      </c>
      <c r="BD135">
        <v>26</v>
      </c>
      <c r="BE135">
        <v>4</v>
      </c>
      <c r="BF135">
        <v>2</v>
      </c>
      <c r="BG135">
        <v>1</v>
      </c>
      <c r="BH135">
        <v>0</v>
      </c>
      <c r="BI135">
        <v>3</v>
      </c>
      <c r="BJ135">
        <v>0</v>
      </c>
      <c r="BK135">
        <v>0</v>
      </c>
      <c r="BL135">
        <v>0</v>
      </c>
      <c r="BM135">
        <v>1</v>
      </c>
      <c r="BN135">
        <v>37</v>
      </c>
      <c r="BO135">
        <v>166</v>
      </c>
      <c r="BP135">
        <v>139</v>
      </c>
      <c r="BQ135">
        <v>4</v>
      </c>
      <c r="BR135">
        <v>6</v>
      </c>
      <c r="BS135">
        <v>4</v>
      </c>
      <c r="BT135">
        <v>2</v>
      </c>
      <c r="BU135">
        <v>6</v>
      </c>
      <c r="BV135">
        <v>2</v>
      </c>
      <c r="BW135">
        <v>0</v>
      </c>
      <c r="BX135">
        <v>0</v>
      </c>
      <c r="BY135">
        <v>3</v>
      </c>
      <c r="BZ135">
        <v>166</v>
      </c>
      <c r="CA135">
        <v>8</v>
      </c>
      <c r="CB135">
        <v>2</v>
      </c>
      <c r="CC135">
        <v>0</v>
      </c>
      <c r="CD135">
        <v>2</v>
      </c>
      <c r="CE135">
        <v>1</v>
      </c>
      <c r="CF135">
        <v>1</v>
      </c>
      <c r="CG135">
        <v>0</v>
      </c>
      <c r="CH135">
        <v>0</v>
      </c>
      <c r="CI135">
        <v>1</v>
      </c>
      <c r="CJ135">
        <v>0</v>
      </c>
      <c r="CK135">
        <v>1</v>
      </c>
      <c r="CL135">
        <v>8</v>
      </c>
      <c r="CM135">
        <v>9</v>
      </c>
      <c r="CN135">
        <v>6</v>
      </c>
      <c r="CO135">
        <v>1</v>
      </c>
      <c r="CP135">
        <v>0</v>
      </c>
      <c r="CQ135">
        <v>2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9</v>
      </c>
      <c r="CY135">
        <v>29</v>
      </c>
      <c r="CZ135">
        <v>19</v>
      </c>
      <c r="DA135">
        <v>4</v>
      </c>
      <c r="DB135">
        <v>3</v>
      </c>
      <c r="DC135">
        <v>0</v>
      </c>
      <c r="DD135">
        <v>1</v>
      </c>
      <c r="DE135">
        <v>0</v>
      </c>
      <c r="DF135">
        <v>0</v>
      </c>
      <c r="DG135">
        <v>0</v>
      </c>
      <c r="DH135">
        <v>1</v>
      </c>
      <c r="DI135">
        <v>1</v>
      </c>
      <c r="DJ135">
        <v>29</v>
      </c>
      <c r="DK135">
        <v>90</v>
      </c>
      <c r="DL135">
        <v>65</v>
      </c>
      <c r="DM135">
        <v>18</v>
      </c>
      <c r="DN135">
        <v>0</v>
      </c>
      <c r="DO135">
        <v>0</v>
      </c>
      <c r="DP135">
        <v>2</v>
      </c>
      <c r="DQ135">
        <v>1</v>
      </c>
      <c r="DR135">
        <v>1</v>
      </c>
      <c r="DS135">
        <v>2</v>
      </c>
      <c r="DT135">
        <v>0</v>
      </c>
      <c r="DU135">
        <v>1</v>
      </c>
      <c r="DV135">
        <v>90</v>
      </c>
      <c r="DW135">
        <v>41</v>
      </c>
      <c r="DX135">
        <v>2</v>
      </c>
      <c r="DY135">
        <v>2</v>
      </c>
      <c r="DZ135">
        <v>0</v>
      </c>
      <c r="EA135">
        <v>36</v>
      </c>
      <c r="EB135">
        <v>0</v>
      </c>
      <c r="EC135">
        <v>0</v>
      </c>
      <c r="ED135">
        <v>0</v>
      </c>
      <c r="EE135">
        <v>1</v>
      </c>
      <c r="EF135">
        <v>0</v>
      </c>
      <c r="EG135">
        <v>0</v>
      </c>
      <c r="EH135">
        <v>41</v>
      </c>
      <c r="EI135">
        <v>3</v>
      </c>
      <c r="EJ135">
        <v>0</v>
      </c>
      <c r="EK135">
        <v>2</v>
      </c>
      <c r="EL135">
        <v>0</v>
      </c>
      <c r="EM135">
        <v>0</v>
      </c>
      <c r="EN135">
        <v>0</v>
      </c>
      <c r="EO135">
        <v>1</v>
      </c>
      <c r="EP135">
        <v>0</v>
      </c>
      <c r="EQ135">
        <v>0</v>
      </c>
      <c r="ER135">
        <v>3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</row>
    <row r="136" spans="1:172" ht="14.25">
      <c r="A136">
        <v>131</v>
      </c>
      <c r="B136" t="str">
        <f t="shared" si="25"/>
        <v>100501</v>
      </c>
      <c r="C136" t="str">
        <f t="shared" si="26"/>
        <v>m. Łowicz</v>
      </c>
      <c r="D136" t="str">
        <f t="shared" si="27"/>
        <v>Łowicki</v>
      </c>
      <c r="E136" t="str">
        <f t="shared" si="28"/>
        <v>łódzkie</v>
      </c>
      <c r="F136">
        <v>6</v>
      </c>
      <c r="G136" t="str">
        <f>"Szkoła Podstawowa nr 1, ul. Kaliska 12, 99-400 Łowicz"</f>
        <v>Szkoła Podstawowa nr 1, ul. Kaliska 12, 99-400 Łowicz</v>
      </c>
      <c r="H136">
        <v>931</v>
      </c>
      <c r="I136">
        <v>931</v>
      </c>
      <c r="J136">
        <v>0</v>
      </c>
      <c r="K136">
        <v>650</v>
      </c>
      <c r="L136">
        <v>403</v>
      </c>
      <c r="M136">
        <v>247</v>
      </c>
      <c r="N136">
        <v>247</v>
      </c>
      <c r="O136">
        <v>0</v>
      </c>
      <c r="P136">
        <v>0</v>
      </c>
      <c r="Q136">
        <v>4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247</v>
      </c>
      <c r="Z136">
        <v>0</v>
      </c>
      <c r="AA136">
        <v>0</v>
      </c>
      <c r="AB136">
        <v>247</v>
      </c>
      <c r="AC136">
        <v>6</v>
      </c>
      <c r="AD136">
        <v>241</v>
      </c>
      <c r="AE136">
        <v>3</v>
      </c>
      <c r="AF136">
        <v>2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1</v>
      </c>
      <c r="AM136">
        <v>0</v>
      </c>
      <c r="AN136">
        <v>0</v>
      </c>
      <c r="AO136">
        <v>0</v>
      </c>
      <c r="AP136">
        <v>3</v>
      </c>
      <c r="AQ136">
        <v>6</v>
      </c>
      <c r="AR136">
        <v>1</v>
      </c>
      <c r="AS136">
        <v>1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3</v>
      </c>
      <c r="BA136">
        <v>1</v>
      </c>
      <c r="BB136">
        <v>6</v>
      </c>
      <c r="BC136">
        <v>14</v>
      </c>
      <c r="BD136">
        <v>11</v>
      </c>
      <c r="BE136">
        <v>2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1</v>
      </c>
      <c r="BL136">
        <v>0</v>
      </c>
      <c r="BM136">
        <v>0</v>
      </c>
      <c r="BN136">
        <v>14</v>
      </c>
      <c r="BO136">
        <v>103</v>
      </c>
      <c r="BP136">
        <v>64</v>
      </c>
      <c r="BQ136">
        <v>5</v>
      </c>
      <c r="BR136">
        <v>5</v>
      </c>
      <c r="BS136">
        <v>4</v>
      </c>
      <c r="BT136">
        <v>2</v>
      </c>
      <c r="BU136">
        <v>19</v>
      </c>
      <c r="BV136">
        <v>1</v>
      </c>
      <c r="BW136">
        <v>0</v>
      </c>
      <c r="BX136">
        <v>0</v>
      </c>
      <c r="BY136">
        <v>3</v>
      </c>
      <c r="BZ136">
        <v>103</v>
      </c>
      <c r="CA136">
        <v>1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1</v>
      </c>
      <c r="CK136">
        <v>0</v>
      </c>
      <c r="CL136">
        <v>1</v>
      </c>
      <c r="CM136">
        <v>9</v>
      </c>
      <c r="CN136">
        <v>4</v>
      </c>
      <c r="CO136">
        <v>2</v>
      </c>
      <c r="CP136">
        <v>0</v>
      </c>
      <c r="CQ136">
        <v>3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9</v>
      </c>
      <c r="CY136">
        <v>16</v>
      </c>
      <c r="CZ136">
        <v>11</v>
      </c>
      <c r="DA136">
        <v>1</v>
      </c>
      <c r="DB136">
        <v>0</v>
      </c>
      <c r="DC136">
        <v>0</v>
      </c>
      <c r="DD136">
        <v>1</v>
      </c>
      <c r="DE136">
        <v>0</v>
      </c>
      <c r="DF136">
        <v>1</v>
      </c>
      <c r="DG136">
        <v>0</v>
      </c>
      <c r="DH136">
        <v>1</v>
      </c>
      <c r="DI136">
        <v>1</v>
      </c>
      <c r="DJ136">
        <v>16</v>
      </c>
      <c r="DK136">
        <v>72</v>
      </c>
      <c r="DL136">
        <v>58</v>
      </c>
      <c r="DM136">
        <v>10</v>
      </c>
      <c r="DN136">
        <v>0</v>
      </c>
      <c r="DO136">
        <v>1</v>
      </c>
      <c r="DP136">
        <v>0</v>
      </c>
      <c r="DQ136">
        <v>2</v>
      </c>
      <c r="DR136">
        <v>0</v>
      </c>
      <c r="DS136">
        <v>0</v>
      </c>
      <c r="DT136">
        <v>1</v>
      </c>
      <c r="DU136">
        <v>0</v>
      </c>
      <c r="DV136">
        <v>72</v>
      </c>
      <c r="DW136">
        <v>16</v>
      </c>
      <c r="DX136">
        <v>0</v>
      </c>
      <c r="DY136">
        <v>0</v>
      </c>
      <c r="DZ136">
        <v>0</v>
      </c>
      <c r="EA136">
        <v>15</v>
      </c>
      <c r="EB136">
        <v>0</v>
      </c>
      <c r="EC136">
        <v>0</v>
      </c>
      <c r="ED136">
        <v>0</v>
      </c>
      <c r="EE136">
        <v>1</v>
      </c>
      <c r="EF136">
        <v>0</v>
      </c>
      <c r="EG136">
        <v>0</v>
      </c>
      <c r="EH136">
        <v>16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1</v>
      </c>
      <c r="FF136">
        <v>1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1</v>
      </c>
    </row>
    <row r="137" spans="1:172" ht="14.25">
      <c r="A137">
        <v>132</v>
      </c>
      <c r="B137" t="str">
        <f t="shared" si="25"/>
        <v>100501</v>
      </c>
      <c r="C137" t="str">
        <f t="shared" si="26"/>
        <v>m. Łowicz</v>
      </c>
      <c r="D137" t="str">
        <f t="shared" si="27"/>
        <v>Łowicki</v>
      </c>
      <c r="E137" t="str">
        <f t="shared" si="28"/>
        <v>łódzkie</v>
      </c>
      <c r="F137">
        <v>7</v>
      </c>
      <c r="G137" t="str">
        <f>"Szkoła Podstawowa nr 1, ul. Kaliska 12, 99-400 Łowicz"</f>
        <v>Szkoła Podstawowa nr 1, ul. Kaliska 12, 99-400 Łowicz</v>
      </c>
      <c r="H137">
        <v>967</v>
      </c>
      <c r="I137">
        <v>967</v>
      </c>
      <c r="J137">
        <v>0</v>
      </c>
      <c r="K137">
        <v>690</v>
      </c>
      <c r="L137">
        <v>403</v>
      </c>
      <c r="M137">
        <v>287</v>
      </c>
      <c r="N137">
        <v>287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287</v>
      </c>
      <c r="Z137">
        <v>0</v>
      </c>
      <c r="AA137">
        <v>0</v>
      </c>
      <c r="AB137">
        <v>287</v>
      </c>
      <c r="AC137">
        <v>6</v>
      </c>
      <c r="AD137">
        <v>281</v>
      </c>
      <c r="AE137">
        <v>3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1</v>
      </c>
      <c r="AM137">
        <v>0</v>
      </c>
      <c r="AN137">
        <v>1</v>
      </c>
      <c r="AO137">
        <v>1</v>
      </c>
      <c r="AP137">
        <v>3</v>
      </c>
      <c r="AQ137">
        <v>1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1</v>
      </c>
      <c r="AX137">
        <v>0</v>
      </c>
      <c r="AY137">
        <v>0</v>
      </c>
      <c r="AZ137">
        <v>0</v>
      </c>
      <c r="BA137">
        <v>0</v>
      </c>
      <c r="BB137">
        <v>1</v>
      </c>
      <c r="BC137">
        <v>12</v>
      </c>
      <c r="BD137">
        <v>8</v>
      </c>
      <c r="BE137">
        <v>3</v>
      </c>
      <c r="BF137">
        <v>1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12</v>
      </c>
      <c r="BO137">
        <v>122</v>
      </c>
      <c r="BP137">
        <v>86</v>
      </c>
      <c r="BQ137">
        <v>5</v>
      </c>
      <c r="BR137">
        <v>1</v>
      </c>
      <c r="BS137">
        <v>4</v>
      </c>
      <c r="BT137">
        <v>0</v>
      </c>
      <c r="BU137">
        <v>22</v>
      </c>
      <c r="BV137">
        <v>3</v>
      </c>
      <c r="BW137">
        <v>0</v>
      </c>
      <c r="BX137">
        <v>0</v>
      </c>
      <c r="BY137">
        <v>1</v>
      </c>
      <c r="BZ137">
        <v>122</v>
      </c>
      <c r="CA137">
        <v>2</v>
      </c>
      <c r="CB137">
        <v>1</v>
      </c>
      <c r="CC137">
        <v>1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2</v>
      </c>
      <c r="CM137">
        <v>11</v>
      </c>
      <c r="CN137">
        <v>5</v>
      </c>
      <c r="CO137">
        <v>0</v>
      </c>
      <c r="CP137">
        <v>0</v>
      </c>
      <c r="CQ137">
        <v>6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11</v>
      </c>
      <c r="CY137">
        <v>16</v>
      </c>
      <c r="CZ137">
        <v>12</v>
      </c>
      <c r="DA137">
        <v>2</v>
      </c>
      <c r="DB137">
        <v>0</v>
      </c>
      <c r="DC137">
        <v>0</v>
      </c>
      <c r="DD137">
        <v>0</v>
      </c>
      <c r="DE137">
        <v>0</v>
      </c>
      <c r="DF137">
        <v>1</v>
      </c>
      <c r="DG137">
        <v>1</v>
      </c>
      <c r="DH137">
        <v>0</v>
      </c>
      <c r="DI137">
        <v>0</v>
      </c>
      <c r="DJ137">
        <v>16</v>
      </c>
      <c r="DK137">
        <v>65</v>
      </c>
      <c r="DL137">
        <v>46</v>
      </c>
      <c r="DM137">
        <v>14</v>
      </c>
      <c r="DN137">
        <v>0</v>
      </c>
      <c r="DO137">
        <v>0</v>
      </c>
      <c r="DP137">
        <v>0</v>
      </c>
      <c r="DQ137">
        <v>0</v>
      </c>
      <c r="DR137">
        <v>1</v>
      </c>
      <c r="DS137">
        <v>3</v>
      </c>
      <c r="DT137">
        <v>0</v>
      </c>
      <c r="DU137">
        <v>1</v>
      </c>
      <c r="DV137">
        <v>65</v>
      </c>
      <c r="DW137">
        <v>43</v>
      </c>
      <c r="DX137">
        <v>2</v>
      </c>
      <c r="DY137">
        <v>3</v>
      </c>
      <c r="DZ137">
        <v>0</v>
      </c>
      <c r="EA137">
        <v>36</v>
      </c>
      <c r="EB137">
        <v>0</v>
      </c>
      <c r="EC137">
        <v>0</v>
      </c>
      <c r="ED137">
        <v>0</v>
      </c>
      <c r="EE137">
        <v>0</v>
      </c>
      <c r="EF137">
        <v>1</v>
      </c>
      <c r="EG137">
        <v>1</v>
      </c>
      <c r="EH137">
        <v>43</v>
      </c>
      <c r="EI137">
        <v>3</v>
      </c>
      <c r="EJ137">
        <v>1</v>
      </c>
      <c r="EK137">
        <v>2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3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3</v>
      </c>
      <c r="FF137">
        <v>0</v>
      </c>
      <c r="FG137">
        <v>1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1</v>
      </c>
      <c r="FN137">
        <v>0</v>
      </c>
      <c r="FO137">
        <v>1</v>
      </c>
      <c r="FP137">
        <v>3</v>
      </c>
    </row>
    <row r="138" spans="1:172" ht="14.25">
      <c r="A138">
        <v>133</v>
      </c>
      <c r="B138" t="str">
        <f t="shared" si="25"/>
        <v>100501</v>
      </c>
      <c r="C138" t="str">
        <f t="shared" si="26"/>
        <v>m. Łowicz</v>
      </c>
      <c r="D138" t="str">
        <f t="shared" si="27"/>
        <v>Łowicki</v>
      </c>
      <c r="E138" t="str">
        <f t="shared" si="28"/>
        <v>łódzkie</v>
      </c>
      <c r="F138">
        <v>8</v>
      </c>
      <c r="G138" t="str">
        <f>"I Liceum Ogólnokształcące, ul. Bonifraterska 3, 99-400 Łowicz"</f>
        <v>I Liceum Ogólnokształcące, ul. Bonifraterska 3, 99-400 Łowicz</v>
      </c>
      <c r="H138">
        <v>1061</v>
      </c>
      <c r="I138">
        <v>1061</v>
      </c>
      <c r="J138">
        <v>0</v>
      </c>
      <c r="K138">
        <v>760</v>
      </c>
      <c r="L138">
        <v>548</v>
      </c>
      <c r="M138">
        <v>212</v>
      </c>
      <c r="N138">
        <v>212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212</v>
      </c>
      <c r="Z138">
        <v>0</v>
      </c>
      <c r="AA138">
        <v>0</v>
      </c>
      <c r="AB138">
        <v>212</v>
      </c>
      <c r="AC138">
        <v>5</v>
      </c>
      <c r="AD138">
        <v>207</v>
      </c>
      <c r="AE138">
        <v>5</v>
      </c>
      <c r="AF138">
        <v>2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3</v>
      </c>
      <c r="AM138">
        <v>0</v>
      </c>
      <c r="AN138">
        <v>0</v>
      </c>
      <c r="AO138">
        <v>0</v>
      </c>
      <c r="AP138">
        <v>5</v>
      </c>
      <c r="AQ138">
        <v>10</v>
      </c>
      <c r="AR138">
        <v>1</v>
      </c>
      <c r="AS138">
        <v>1</v>
      </c>
      <c r="AT138">
        <v>0</v>
      </c>
      <c r="AU138">
        <v>0</v>
      </c>
      <c r="AV138">
        <v>1</v>
      </c>
      <c r="AW138">
        <v>0</v>
      </c>
      <c r="AX138">
        <v>1</v>
      </c>
      <c r="AY138">
        <v>0</v>
      </c>
      <c r="AZ138">
        <v>6</v>
      </c>
      <c r="BA138">
        <v>0</v>
      </c>
      <c r="BB138">
        <v>10</v>
      </c>
      <c r="BC138">
        <v>12</v>
      </c>
      <c r="BD138">
        <v>7</v>
      </c>
      <c r="BE138">
        <v>2</v>
      </c>
      <c r="BF138">
        <v>1</v>
      </c>
      <c r="BG138">
        <v>1</v>
      </c>
      <c r="BH138">
        <v>0</v>
      </c>
      <c r="BI138">
        <v>0</v>
      </c>
      <c r="BJ138">
        <v>0</v>
      </c>
      <c r="BK138">
        <v>1</v>
      </c>
      <c r="BL138">
        <v>0</v>
      </c>
      <c r="BM138">
        <v>0</v>
      </c>
      <c r="BN138">
        <v>12</v>
      </c>
      <c r="BO138">
        <v>67</v>
      </c>
      <c r="BP138">
        <v>44</v>
      </c>
      <c r="BQ138">
        <v>1</v>
      </c>
      <c r="BR138">
        <v>2</v>
      </c>
      <c r="BS138">
        <v>1</v>
      </c>
      <c r="BT138">
        <v>0</v>
      </c>
      <c r="BU138">
        <v>16</v>
      </c>
      <c r="BV138">
        <v>2</v>
      </c>
      <c r="BW138">
        <v>0</v>
      </c>
      <c r="BX138">
        <v>0</v>
      </c>
      <c r="BY138">
        <v>1</v>
      </c>
      <c r="BZ138">
        <v>67</v>
      </c>
      <c r="CA138">
        <v>3</v>
      </c>
      <c r="CB138">
        <v>0</v>
      </c>
      <c r="CC138">
        <v>0</v>
      </c>
      <c r="CD138">
        <v>0</v>
      </c>
      <c r="CE138">
        <v>1</v>
      </c>
      <c r="CF138">
        <v>0</v>
      </c>
      <c r="CG138">
        <v>0</v>
      </c>
      <c r="CH138">
        <v>0</v>
      </c>
      <c r="CI138">
        <v>1</v>
      </c>
      <c r="CJ138">
        <v>1</v>
      </c>
      <c r="CK138">
        <v>0</v>
      </c>
      <c r="CL138">
        <v>3</v>
      </c>
      <c r="CM138">
        <v>3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2</v>
      </c>
      <c r="CX138">
        <v>3</v>
      </c>
      <c r="CY138">
        <v>23</v>
      </c>
      <c r="CZ138">
        <v>16</v>
      </c>
      <c r="DA138">
        <v>4</v>
      </c>
      <c r="DB138">
        <v>1</v>
      </c>
      <c r="DC138">
        <v>1</v>
      </c>
      <c r="DD138">
        <v>0</v>
      </c>
      <c r="DE138">
        <v>0</v>
      </c>
      <c r="DF138">
        <v>0</v>
      </c>
      <c r="DG138">
        <v>1</v>
      </c>
      <c r="DH138">
        <v>0</v>
      </c>
      <c r="DI138">
        <v>0</v>
      </c>
      <c r="DJ138">
        <v>23</v>
      </c>
      <c r="DK138">
        <v>66</v>
      </c>
      <c r="DL138">
        <v>47</v>
      </c>
      <c r="DM138">
        <v>14</v>
      </c>
      <c r="DN138">
        <v>1</v>
      </c>
      <c r="DO138">
        <v>0</v>
      </c>
      <c r="DP138">
        <v>2</v>
      </c>
      <c r="DQ138">
        <v>0</v>
      </c>
      <c r="DR138">
        <v>0</v>
      </c>
      <c r="DS138">
        <v>0</v>
      </c>
      <c r="DT138">
        <v>1</v>
      </c>
      <c r="DU138">
        <v>1</v>
      </c>
      <c r="DV138">
        <v>66</v>
      </c>
      <c r="DW138">
        <v>17</v>
      </c>
      <c r="DX138">
        <v>0</v>
      </c>
      <c r="DY138">
        <v>0</v>
      </c>
      <c r="DZ138">
        <v>0</v>
      </c>
      <c r="EA138">
        <v>17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17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1</v>
      </c>
      <c r="FF138">
        <v>0</v>
      </c>
      <c r="FG138">
        <v>1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1</v>
      </c>
    </row>
    <row r="139" spans="1:172" ht="14.25">
      <c r="A139">
        <v>134</v>
      </c>
      <c r="B139" t="str">
        <f t="shared" si="25"/>
        <v>100501</v>
      </c>
      <c r="C139" t="str">
        <f t="shared" si="26"/>
        <v>m. Łowicz</v>
      </c>
      <c r="D139" t="str">
        <f t="shared" si="27"/>
        <v>Łowicki</v>
      </c>
      <c r="E139" t="str">
        <f t="shared" si="28"/>
        <v>łódzkie</v>
      </c>
      <c r="F139">
        <v>9</v>
      </c>
      <c r="G139" t="str">
        <f>"Przedszkole nr 4, ul. Generała Sikorskiego 2, 99-400 Łowicz"</f>
        <v>Przedszkole nr 4, ul. Generała Sikorskiego 2, 99-400 Łowicz</v>
      </c>
      <c r="H139">
        <v>1190</v>
      </c>
      <c r="I139">
        <v>1190</v>
      </c>
      <c r="J139">
        <v>0</v>
      </c>
      <c r="K139">
        <v>840</v>
      </c>
      <c r="L139">
        <v>523</v>
      </c>
      <c r="M139">
        <v>317</v>
      </c>
      <c r="N139">
        <v>317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317</v>
      </c>
      <c r="Z139">
        <v>0</v>
      </c>
      <c r="AA139">
        <v>0</v>
      </c>
      <c r="AB139">
        <v>317</v>
      </c>
      <c r="AC139">
        <v>16</v>
      </c>
      <c r="AD139">
        <v>301</v>
      </c>
      <c r="AE139">
        <v>6</v>
      </c>
      <c r="AF139">
        <v>5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1</v>
      </c>
      <c r="AM139">
        <v>0</v>
      </c>
      <c r="AN139">
        <v>0</v>
      </c>
      <c r="AO139">
        <v>0</v>
      </c>
      <c r="AP139">
        <v>6</v>
      </c>
      <c r="AQ139">
        <v>5</v>
      </c>
      <c r="AR139">
        <v>2</v>
      </c>
      <c r="AS139">
        <v>0</v>
      </c>
      <c r="AT139">
        <v>0</v>
      </c>
      <c r="AU139">
        <v>0</v>
      </c>
      <c r="AV139">
        <v>1</v>
      </c>
      <c r="AW139">
        <v>0</v>
      </c>
      <c r="AX139">
        <v>0</v>
      </c>
      <c r="AY139">
        <v>0</v>
      </c>
      <c r="AZ139">
        <v>1</v>
      </c>
      <c r="BA139">
        <v>1</v>
      </c>
      <c r="BB139">
        <v>5</v>
      </c>
      <c r="BC139">
        <v>18</v>
      </c>
      <c r="BD139">
        <v>13</v>
      </c>
      <c r="BE139">
        <v>1</v>
      </c>
      <c r="BF139">
        <v>1</v>
      </c>
      <c r="BG139">
        <v>1</v>
      </c>
      <c r="BH139">
        <v>0</v>
      </c>
      <c r="BI139">
        <v>2</v>
      </c>
      <c r="BJ139">
        <v>0</v>
      </c>
      <c r="BK139">
        <v>0</v>
      </c>
      <c r="BL139">
        <v>0</v>
      </c>
      <c r="BM139">
        <v>0</v>
      </c>
      <c r="BN139">
        <v>18</v>
      </c>
      <c r="BO139">
        <v>104</v>
      </c>
      <c r="BP139">
        <v>85</v>
      </c>
      <c r="BQ139">
        <v>3</v>
      </c>
      <c r="BR139">
        <v>4</v>
      </c>
      <c r="BS139">
        <v>5</v>
      </c>
      <c r="BT139">
        <v>1</v>
      </c>
      <c r="BU139">
        <v>3</v>
      </c>
      <c r="BV139">
        <v>0</v>
      </c>
      <c r="BW139">
        <v>0</v>
      </c>
      <c r="BX139">
        <v>1</v>
      </c>
      <c r="BY139">
        <v>2</v>
      </c>
      <c r="BZ139">
        <v>104</v>
      </c>
      <c r="CA139">
        <v>4</v>
      </c>
      <c r="CB139">
        <v>1</v>
      </c>
      <c r="CC139">
        <v>0</v>
      </c>
      <c r="CD139">
        <v>1</v>
      </c>
      <c r="CE139">
        <v>1</v>
      </c>
      <c r="CF139">
        <v>1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4</v>
      </c>
      <c r="CM139">
        <v>12</v>
      </c>
      <c r="CN139">
        <v>4</v>
      </c>
      <c r="CO139">
        <v>0</v>
      </c>
      <c r="CP139">
        <v>0</v>
      </c>
      <c r="CQ139">
        <v>5</v>
      </c>
      <c r="CR139">
        <v>0</v>
      </c>
      <c r="CS139">
        <v>0</v>
      </c>
      <c r="CT139">
        <v>1</v>
      </c>
      <c r="CU139">
        <v>0</v>
      </c>
      <c r="CV139">
        <v>1</v>
      </c>
      <c r="CW139">
        <v>1</v>
      </c>
      <c r="CX139">
        <v>12</v>
      </c>
      <c r="CY139">
        <v>22</v>
      </c>
      <c r="CZ139">
        <v>16</v>
      </c>
      <c r="DA139">
        <v>2</v>
      </c>
      <c r="DB139">
        <v>1</v>
      </c>
      <c r="DC139">
        <v>1</v>
      </c>
      <c r="DD139">
        <v>1</v>
      </c>
      <c r="DE139">
        <v>0</v>
      </c>
      <c r="DF139">
        <v>0</v>
      </c>
      <c r="DG139">
        <v>1</v>
      </c>
      <c r="DH139">
        <v>0</v>
      </c>
      <c r="DI139">
        <v>0</v>
      </c>
      <c r="DJ139">
        <v>22</v>
      </c>
      <c r="DK139">
        <v>103</v>
      </c>
      <c r="DL139">
        <v>74</v>
      </c>
      <c r="DM139">
        <v>21</v>
      </c>
      <c r="DN139">
        <v>3</v>
      </c>
      <c r="DO139">
        <v>0</v>
      </c>
      <c r="DP139">
        <v>1</v>
      </c>
      <c r="DQ139">
        <v>1</v>
      </c>
      <c r="DR139">
        <v>0</v>
      </c>
      <c r="DS139">
        <v>2</v>
      </c>
      <c r="DT139">
        <v>0</v>
      </c>
      <c r="DU139">
        <v>1</v>
      </c>
      <c r="DV139">
        <v>103</v>
      </c>
      <c r="DW139">
        <v>23</v>
      </c>
      <c r="DX139">
        <v>0</v>
      </c>
      <c r="DY139">
        <v>1</v>
      </c>
      <c r="DZ139">
        <v>0</v>
      </c>
      <c r="EA139">
        <v>18</v>
      </c>
      <c r="EB139">
        <v>1</v>
      </c>
      <c r="EC139">
        <v>0</v>
      </c>
      <c r="ED139">
        <v>0</v>
      </c>
      <c r="EE139">
        <v>2</v>
      </c>
      <c r="EF139">
        <v>1</v>
      </c>
      <c r="EG139">
        <v>0</v>
      </c>
      <c r="EH139">
        <v>23</v>
      </c>
      <c r="EI139">
        <v>4</v>
      </c>
      <c r="EJ139">
        <v>0</v>
      </c>
      <c r="EK139">
        <v>2</v>
      </c>
      <c r="EL139">
        <v>0</v>
      </c>
      <c r="EM139">
        <v>1</v>
      </c>
      <c r="EN139">
        <v>0</v>
      </c>
      <c r="EO139">
        <v>1</v>
      </c>
      <c r="EP139">
        <v>0</v>
      </c>
      <c r="EQ139">
        <v>0</v>
      </c>
      <c r="ER139">
        <v>4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</row>
    <row r="140" spans="1:172" ht="14.25">
      <c r="A140">
        <v>135</v>
      </c>
      <c r="B140" t="str">
        <f t="shared" si="25"/>
        <v>100501</v>
      </c>
      <c r="C140" t="str">
        <f t="shared" si="26"/>
        <v>m. Łowicz</v>
      </c>
      <c r="D140" t="str">
        <f t="shared" si="27"/>
        <v>Łowicki</v>
      </c>
      <c r="E140" t="str">
        <f t="shared" si="28"/>
        <v>łódzkie</v>
      </c>
      <c r="F140">
        <v>10</v>
      </c>
      <c r="G140" t="str">
        <f>"Gimnazjum nr 1, ul. Aleje Sienkiewicza 62, 99-400 Łowicz"</f>
        <v>Gimnazjum nr 1, ul. Aleje Sienkiewicza 62, 99-400 Łowicz</v>
      </c>
      <c r="H140">
        <v>915</v>
      </c>
      <c r="I140">
        <v>915</v>
      </c>
      <c r="J140">
        <v>0</v>
      </c>
      <c r="K140">
        <v>640</v>
      </c>
      <c r="L140">
        <v>368</v>
      </c>
      <c r="M140">
        <v>272</v>
      </c>
      <c r="N140">
        <v>272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272</v>
      </c>
      <c r="Z140">
        <v>0</v>
      </c>
      <c r="AA140">
        <v>0</v>
      </c>
      <c r="AB140">
        <v>272</v>
      </c>
      <c r="AC140">
        <v>5</v>
      </c>
      <c r="AD140">
        <v>267</v>
      </c>
      <c r="AE140">
        <v>4</v>
      </c>
      <c r="AF140">
        <v>2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1</v>
      </c>
      <c r="AM140">
        <v>0</v>
      </c>
      <c r="AN140">
        <v>1</v>
      </c>
      <c r="AO140">
        <v>0</v>
      </c>
      <c r="AP140">
        <v>4</v>
      </c>
      <c r="AQ140">
        <v>9</v>
      </c>
      <c r="AR140">
        <v>7</v>
      </c>
      <c r="AS140">
        <v>0</v>
      </c>
      <c r="AT140">
        <v>0</v>
      </c>
      <c r="AU140">
        <v>1</v>
      </c>
      <c r="AV140">
        <v>0</v>
      </c>
      <c r="AW140">
        <v>1</v>
      </c>
      <c r="AX140">
        <v>0</v>
      </c>
      <c r="AY140">
        <v>0</v>
      </c>
      <c r="AZ140">
        <v>0</v>
      </c>
      <c r="BA140">
        <v>0</v>
      </c>
      <c r="BB140">
        <v>9</v>
      </c>
      <c r="BC140">
        <v>27</v>
      </c>
      <c r="BD140">
        <v>16</v>
      </c>
      <c r="BE140">
        <v>2</v>
      </c>
      <c r="BF140">
        <v>0</v>
      </c>
      <c r="BG140">
        <v>2</v>
      </c>
      <c r="BH140">
        <v>2</v>
      </c>
      <c r="BI140">
        <v>0</v>
      </c>
      <c r="BJ140">
        <v>1</v>
      </c>
      <c r="BK140">
        <v>0</v>
      </c>
      <c r="BL140">
        <v>2</v>
      </c>
      <c r="BM140">
        <v>2</v>
      </c>
      <c r="BN140">
        <v>27</v>
      </c>
      <c r="BO140">
        <v>88</v>
      </c>
      <c r="BP140">
        <v>73</v>
      </c>
      <c r="BQ140">
        <v>2</v>
      </c>
      <c r="BR140">
        <v>1</v>
      </c>
      <c r="BS140">
        <v>1</v>
      </c>
      <c r="BT140">
        <v>0</v>
      </c>
      <c r="BU140">
        <v>11</v>
      </c>
      <c r="BV140">
        <v>0</v>
      </c>
      <c r="BW140">
        <v>0</v>
      </c>
      <c r="BX140">
        <v>0</v>
      </c>
      <c r="BY140">
        <v>0</v>
      </c>
      <c r="BZ140">
        <v>88</v>
      </c>
      <c r="CA140">
        <v>1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1</v>
      </c>
      <c r="CK140">
        <v>0</v>
      </c>
      <c r="CL140">
        <v>1</v>
      </c>
      <c r="CM140">
        <v>16</v>
      </c>
      <c r="CN140">
        <v>2</v>
      </c>
      <c r="CO140">
        <v>0</v>
      </c>
      <c r="CP140">
        <v>0</v>
      </c>
      <c r="CQ140">
        <v>12</v>
      </c>
      <c r="CR140">
        <v>0</v>
      </c>
      <c r="CS140">
        <v>1</v>
      </c>
      <c r="CT140">
        <v>0</v>
      </c>
      <c r="CU140">
        <v>0</v>
      </c>
      <c r="CV140">
        <v>1</v>
      </c>
      <c r="CW140">
        <v>0</v>
      </c>
      <c r="CX140">
        <v>16</v>
      </c>
      <c r="CY140">
        <v>9</v>
      </c>
      <c r="CZ140">
        <v>6</v>
      </c>
      <c r="DA140">
        <v>0</v>
      </c>
      <c r="DB140">
        <v>1</v>
      </c>
      <c r="DC140">
        <v>0</v>
      </c>
      <c r="DD140">
        <v>0</v>
      </c>
      <c r="DE140">
        <v>1</v>
      </c>
      <c r="DF140">
        <v>0</v>
      </c>
      <c r="DG140">
        <v>1</v>
      </c>
      <c r="DH140">
        <v>0</v>
      </c>
      <c r="DI140">
        <v>0</v>
      </c>
      <c r="DJ140">
        <v>9</v>
      </c>
      <c r="DK140">
        <v>91</v>
      </c>
      <c r="DL140">
        <v>57</v>
      </c>
      <c r="DM140">
        <v>22</v>
      </c>
      <c r="DN140">
        <v>2</v>
      </c>
      <c r="DO140">
        <v>1</v>
      </c>
      <c r="DP140">
        <v>1</v>
      </c>
      <c r="DQ140">
        <v>1</v>
      </c>
      <c r="DR140">
        <v>0</v>
      </c>
      <c r="DS140">
        <v>4</v>
      </c>
      <c r="DT140">
        <v>1</v>
      </c>
      <c r="DU140">
        <v>2</v>
      </c>
      <c r="DV140">
        <v>91</v>
      </c>
      <c r="DW140">
        <v>19</v>
      </c>
      <c r="DX140">
        <v>3</v>
      </c>
      <c r="DY140">
        <v>0</v>
      </c>
      <c r="DZ140">
        <v>0</v>
      </c>
      <c r="EA140">
        <v>16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19</v>
      </c>
      <c r="EI140">
        <v>3</v>
      </c>
      <c r="EJ140">
        <v>0</v>
      </c>
      <c r="EK140">
        <v>2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1</v>
      </c>
      <c r="ER140">
        <v>3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</row>
    <row r="141" spans="1:172" ht="14.25">
      <c r="A141">
        <v>136</v>
      </c>
      <c r="B141" t="str">
        <f t="shared" si="25"/>
        <v>100501</v>
      </c>
      <c r="C141" t="str">
        <f t="shared" si="26"/>
        <v>m. Łowicz</v>
      </c>
      <c r="D141" t="str">
        <f t="shared" si="27"/>
        <v>Łowicki</v>
      </c>
      <c r="E141" t="str">
        <f t="shared" si="28"/>
        <v>łódzkie</v>
      </c>
      <c r="F141">
        <v>11</v>
      </c>
      <c r="G141" t="str">
        <f>"Przedszkole nr 2, ul. Starzyńskiego 5a, 99-400 Łowicz"</f>
        <v>Przedszkole nr 2, ul. Starzyńskiego 5a, 99-400 Łowicz</v>
      </c>
      <c r="H141">
        <v>845</v>
      </c>
      <c r="I141">
        <v>845</v>
      </c>
      <c r="J141">
        <v>0</v>
      </c>
      <c r="K141">
        <v>600</v>
      </c>
      <c r="L141">
        <v>368</v>
      </c>
      <c r="M141">
        <v>232</v>
      </c>
      <c r="N141">
        <v>232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232</v>
      </c>
      <c r="Z141">
        <v>0</v>
      </c>
      <c r="AA141">
        <v>0</v>
      </c>
      <c r="AB141">
        <v>232</v>
      </c>
      <c r="AC141">
        <v>10</v>
      </c>
      <c r="AD141">
        <v>222</v>
      </c>
      <c r="AE141">
        <v>2</v>
      </c>
      <c r="AF141">
        <v>0</v>
      </c>
      <c r="AG141">
        <v>0</v>
      </c>
      <c r="AH141">
        <v>0</v>
      </c>
      <c r="AI141">
        <v>1</v>
      </c>
      <c r="AJ141">
        <v>0</v>
      </c>
      <c r="AK141">
        <v>0</v>
      </c>
      <c r="AL141">
        <v>1</v>
      </c>
      <c r="AM141">
        <v>0</v>
      </c>
      <c r="AN141">
        <v>0</v>
      </c>
      <c r="AO141">
        <v>0</v>
      </c>
      <c r="AP141">
        <v>2</v>
      </c>
      <c r="AQ141">
        <v>4</v>
      </c>
      <c r="AR141">
        <v>1</v>
      </c>
      <c r="AS141">
        <v>1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2</v>
      </c>
      <c r="BA141">
        <v>0</v>
      </c>
      <c r="BB141">
        <v>4</v>
      </c>
      <c r="BC141">
        <v>26</v>
      </c>
      <c r="BD141">
        <v>16</v>
      </c>
      <c r="BE141">
        <v>4</v>
      </c>
      <c r="BF141">
        <v>1</v>
      </c>
      <c r="BG141">
        <v>0</v>
      </c>
      <c r="BH141">
        <v>0</v>
      </c>
      <c r="BI141">
        <v>1</v>
      </c>
      <c r="BJ141">
        <v>0</v>
      </c>
      <c r="BK141">
        <v>1</v>
      </c>
      <c r="BL141">
        <v>1</v>
      </c>
      <c r="BM141">
        <v>2</v>
      </c>
      <c r="BN141">
        <v>26</v>
      </c>
      <c r="BO141">
        <v>83</v>
      </c>
      <c r="BP141">
        <v>59</v>
      </c>
      <c r="BQ141">
        <v>3</v>
      </c>
      <c r="BR141">
        <v>8</v>
      </c>
      <c r="BS141">
        <v>6</v>
      </c>
      <c r="BT141">
        <v>1</v>
      </c>
      <c r="BU141">
        <v>6</v>
      </c>
      <c r="BV141">
        <v>0</v>
      </c>
      <c r="BW141">
        <v>0</v>
      </c>
      <c r="BX141">
        <v>0</v>
      </c>
      <c r="BY141">
        <v>0</v>
      </c>
      <c r="BZ141">
        <v>83</v>
      </c>
      <c r="CA141">
        <v>5</v>
      </c>
      <c r="CB141">
        <v>4</v>
      </c>
      <c r="CC141">
        <v>1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5</v>
      </c>
      <c r="CM141">
        <v>8</v>
      </c>
      <c r="CN141">
        <v>1</v>
      </c>
      <c r="CO141">
        <v>0</v>
      </c>
      <c r="CP141">
        <v>0</v>
      </c>
      <c r="CQ141">
        <v>7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8</v>
      </c>
      <c r="CY141">
        <v>11</v>
      </c>
      <c r="CZ141">
        <v>9</v>
      </c>
      <c r="DA141">
        <v>0</v>
      </c>
      <c r="DB141">
        <v>0</v>
      </c>
      <c r="DC141">
        <v>1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1</v>
      </c>
      <c r="DJ141">
        <v>11</v>
      </c>
      <c r="DK141">
        <v>72</v>
      </c>
      <c r="DL141">
        <v>56</v>
      </c>
      <c r="DM141">
        <v>8</v>
      </c>
      <c r="DN141">
        <v>0</v>
      </c>
      <c r="DO141">
        <v>0</v>
      </c>
      <c r="DP141">
        <v>2</v>
      </c>
      <c r="DQ141">
        <v>1</v>
      </c>
      <c r="DR141">
        <v>0</v>
      </c>
      <c r="DS141">
        <v>1</v>
      </c>
      <c r="DT141">
        <v>1</v>
      </c>
      <c r="DU141">
        <v>3</v>
      </c>
      <c r="DV141">
        <v>72</v>
      </c>
      <c r="DW141">
        <v>8</v>
      </c>
      <c r="DX141">
        <v>0</v>
      </c>
      <c r="DY141">
        <v>0</v>
      </c>
      <c r="DZ141">
        <v>0</v>
      </c>
      <c r="EA141">
        <v>8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8</v>
      </c>
      <c r="EI141">
        <v>2</v>
      </c>
      <c r="EJ141">
        <v>0</v>
      </c>
      <c r="EK141">
        <v>2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2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1</v>
      </c>
      <c r="FF141">
        <v>1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1</v>
      </c>
    </row>
    <row r="142" spans="1:172" ht="14.25">
      <c r="A142">
        <v>137</v>
      </c>
      <c r="B142" t="str">
        <f t="shared" si="25"/>
        <v>100501</v>
      </c>
      <c r="C142" t="str">
        <f t="shared" si="26"/>
        <v>m. Łowicz</v>
      </c>
      <c r="D142" t="str">
        <f t="shared" si="27"/>
        <v>Łowicki</v>
      </c>
      <c r="E142" t="str">
        <f t="shared" si="28"/>
        <v>łódzkie</v>
      </c>
      <c r="F142">
        <v>12</v>
      </c>
      <c r="G142" t="str">
        <f>"Przedszkole nr 1, ul. Ułańska 1, 99-400 Łowicz"</f>
        <v>Przedszkole nr 1, ul. Ułańska 1, 99-400 Łowicz</v>
      </c>
      <c r="H142">
        <v>1043</v>
      </c>
      <c r="I142">
        <v>1043</v>
      </c>
      <c r="J142">
        <v>0</v>
      </c>
      <c r="K142">
        <v>740</v>
      </c>
      <c r="L142">
        <v>430</v>
      </c>
      <c r="M142">
        <v>310</v>
      </c>
      <c r="N142">
        <v>310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310</v>
      </c>
      <c r="Z142">
        <v>0</v>
      </c>
      <c r="AA142">
        <v>0</v>
      </c>
      <c r="AB142">
        <v>310</v>
      </c>
      <c r="AC142">
        <v>6</v>
      </c>
      <c r="AD142">
        <v>304</v>
      </c>
      <c r="AE142">
        <v>6</v>
      </c>
      <c r="AF142">
        <v>5</v>
      </c>
      <c r="AG142">
        <v>1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6</v>
      </c>
      <c r="AQ142">
        <v>4</v>
      </c>
      <c r="AR142">
        <v>2</v>
      </c>
      <c r="AS142">
        <v>2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4</v>
      </c>
      <c r="BC142">
        <v>12</v>
      </c>
      <c r="BD142">
        <v>6</v>
      </c>
      <c r="BE142">
        <v>3</v>
      </c>
      <c r="BF142">
        <v>1</v>
      </c>
      <c r="BG142">
        <v>0</v>
      </c>
      <c r="BH142">
        <v>0</v>
      </c>
      <c r="BI142">
        <v>0</v>
      </c>
      <c r="BJ142">
        <v>0</v>
      </c>
      <c r="BK142">
        <v>2</v>
      </c>
      <c r="BL142">
        <v>0</v>
      </c>
      <c r="BM142">
        <v>0</v>
      </c>
      <c r="BN142">
        <v>12</v>
      </c>
      <c r="BO142">
        <v>114</v>
      </c>
      <c r="BP142">
        <v>91</v>
      </c>
      <c r="BQ142">
        <v>5</v>
      </c>
      <c r="BR142">
        <v>6</v>
      </c>
      <c r="BS142">
        <v>4</v>
      </c>
      <c r="BT142">
        <v>0</v>
      </c>
      <c r="BU142">
        <v>4</v>
      </c>
      <c r="BV142">
        <v>2</v>
      </c>
      <c r="BW142">
        <v>1</v>
      </c>
      <c r="BX142">
        <v>0</v>
      </c>
      <c r="BY142">
        <v>1</v>
      </c>
      <c r="BZ142">
        <v>114</v>
      </c>
      <c r="CA142">
        <v>4</v>
      </c>
      <c r="CB142">
        <v>0</v>
      </c>
      <c r="CC142">
        <v>2</v>
      </c>
      <c r="CD142">
        <v>0</v>
      </c>
      <c r="CE142">
        <v>0</v>
      </c>
      <c r="CF142">
        <v>1</v>
      </c>
      <c r="CG142">
        <v>0</v>
      </c>
      <c r="CH142">
        <v>0</v>
      </c>
      <c r="CI142">
        <v>1</v>
      </c>
      <c r="CJ142">
        <v>0</v>
      </c>
      <c r="CK142">
        <v>0</v>
      </c>
      <c r="CL142">
        <v>4</v>
      </c>
      <c r="CM142">
        <v>11</v>
      </c>
      <c r="CN142">
        <v>1</v>
      </c>
      <c r="CO142">
        <v>0</v>
      </c>
      <c r="CP142">
        <v>0</v>
      </c>
      <c r="CQ142">
        <v>10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11</v>
      </c>
      <c r="CY142">
        <v>26</v>
      </c>
      <c r="CZ142">
        <v>18</v>
      </c>
      <c r="DA142">
        <v>3</v>
      </c>
      <c r="DB142">
        <v>0</v>
      </c>
      <c r="DC142">
        <v>1</v>
      </c>
      <c r="DD142">
        <v>1</v>
      </c>
      <c r="DE142">
        <v>1</v>
      </c>
      <c r="DF142">
        <v>0</v>
      </c>
      <c r="DG142">
        <v>0</v>
      </c>
      <c r="DH142">
        <v>0</v>
      </c>
      <c r="DI142">
        <v>2</v>
      </c>
      <c r="DJ142">
        <v>26</v>
      </c>
      <c r="DK142">
        <v>94</v>
      </c>
      <c r="DL142">
        <v>71</v>
      </c>
      <c r="DM142">
        <v>15</v>
      </c>
      <c r="DN142">
        <v>1</v>
      </c>
      <c r="DO142">
        <v>0</v>
      </c>
      <c r="DP142">
        <v>1</v>
      </c>
      <c r="DQ142">
        <v>0</v>
      </c>
      <c r="DR142">
        <v>1</v>
      </c>
      <c r="DS142">
        <v>4</v>
      </c>
      <c r="DT142">
        <v>0</v>
      </c>
      <c r="DU142">
        <v>1</v>
      </c>
      <c r="DV142">
        <v>94</v>
      </c>
      <c r="DW142">
        <v>30</v>
      </c>
      <c r="DX142">
        <v>1</v>
      </c>
      <c r="DY142">
        <v>0</v>
      </c>
      <c r="DZ142">
        <v>0</v>
      </c>
      <c r="EA142">
        <v>27</v>
      </c>
      <c r="EB142">
        <v>0</v>
      </c>
      <c r="EC142">
        <v>1</v>
      </c>
      <c r="ED142">
        <v>0</v>
      </c>
      <c r="EE142">
        <v>0</v>
      </c>
      <c r="EF142">
        <v>1</v>
      </c>
      <c r="EG142">
        <v>0</v>
      </c>
      <c r="EH142">
        <v>30</v>
      </c>
      <c r="EI142">
        <v>1</v>
      </c>
      <c r="EJ142">
        <v>0</v>
      </c>
      <c r="EK142">
        <v>1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1</v>
      </c>
      <c r="ES142">
        <v>1</v>
      </c>
      <c r="ET142">
        <v>1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1</v>
      </c>
      <c r="FE142">
        <v>1</v>
      </c>
      <c r="FF142">
        <v>1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1</v>
      </c>
    </row>
    <row r="143" spans="1:172" ht="14.25">
      <c r="A143">
        <v>138</v>
      </c>
      <c r="B143" t="str">
        <f t="shared" si="25"/>
        <v>100501</v>
      </c>
      <c r="C143" t="str">
        <f t="shared" si="26"/>
        <v>m. Łowicz</v>
      </c>
      <c r="D143" t="str">
        <f t="shared" si="27"/>
        <v>Łowicki</v>
      </c>
      <c r="E143" t="str">
        <f t="shared" si="28"/>
        <v>łódzkie</v>
      </c>
      <c r="F143">
        <v>13</v>
      </c>
      <c r="G143" t="str">
        <f>"Szkoła Podstawowa nr 4, ul. Stanisławskiego 31, 99-400 Łowicz"</f>
        <v>Szkoła Podstawowa nr 4, ul. Stanisławskiego 31, 99-400 Łowicz</v>
      </c>
      <c r="H143">
        <v>1115</v>
      </c>
      <c r="I143">
        <v>1115</v>
      </c>
      <c r="J143">
        <v>0</v>
      </c>
      <c r="K143">
        <v>800</v>
      </c>
      <c r="L143">
        <v>495</v>
      </c>
      <c r="M143">
        <v>305</v>
      </c>
      <c r="N143">
        <v>305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305</v>
      </c>
      <c r="Z143">
        <v>0</v>
      </c>
      <c r="AA143">
        <v>0</v>
      </c>
      <c r="AB143">
        <v>305</v>
      </c>
      <c r="AC143">
        <v>13</v>
      </c>
      <c r="AD143">
        <v>292</v>
      </c>
      <c r="AE143">
        <v>6</v>
      </c>
      <c r="AF143">
        <v>2</v>
      </c>
      <c r="AG143">
        <v>0</v>
      </c>
      <c r="AH143">
        <v>0</v>
      </c>
      <c r="AI143">
        <v>1</v>
      </c>
      <c r="AJ143">
        <v>0</v>
      </c>
      <c r="AK143">
        <v>0</v>
      </c>
      <c r="AL143">
        <v>3</v>
      </c>
      <c r="AM143">
        <v>0</v>
      </c>
      <c r="AN143">
        <v>0</v>
      </c>
      <c r="AO143">
        <v>0</v>
      </c>
      <c r="AP143">
        <v>6</v>
      </c>
      <c r="AQ143">
        <v>7</v>
      </c>
      <c r="AR143">
        <v>0</v>
      </c>
      <c r="AS143">
        <v>1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6</v>
      </c>
      <c r="BA143">
        <v>0</v>
      </c>
      <c r="BB143">
        <v>7</v>
      </c>
      <c r="BC143">
        <v>33</v>
      </c>
      <c r="BD143">
        <v>17</v>
      </c>
      <c r="BE143">
        <v>3</v>
      </c>
      <c r="BF143">
        <v>2</v>
      </c>
      <c r="BG143">
        <v>2</v>
      </c>
      <c r="BH143">
        <v>1</v>
      </c>
      <c r="BI143">
        <v>0</v>
      </c>
      <c r="BJ143">
        <v>2</v>
      </c>
      <c r="BK143">
        <v>2</v>
      </c>
      <c r="BL143">
        <v>1</v>
      </c>
      <c r="BM143">
        <v>3</v>
      </c>
      <c r="BN143">
        <v>33</v>
      </c>
      <c r="BO143">
        <v>98</v>
      </c>
      <c r="BP143">
        <v>76</v>
      </c>
      <c r="BQ143">
        <v>5</v>
      </c>
      <c r="BR143">
        <v>5</v>
      </c>
      <c r="BS143">
        <v>3</v>
      </c>
      <c r="BT143">
        <v>0</v>
      </c>
      <c r="BU143">
        <v>3</v>
      </c>
      <c r="BV143">
        <v>2</v>
      </c>
      <c r="BW143">
        <v>2</v>
      </c>
      <c r="BX143">
        <v>0</v>
      </c>
      <c r="BY143">
        <v>2</v>
      </c>
      <c r="BZ143">
        <v>98</v>
      </c>
      <c r="CA143">
        <v>6</v>
      </c>
      <c r="CB143">
        <v>3</v>
      </c>
      <c r="CC143">
        <v>2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1</v>
      </c>
      <c r="CL143">
        <v>6</v>
      </c>
      <c r="CM143">
        <v>14</v>
      </c>
      <c r="CN143">
        <v>5</v>
      </c>
      <c r="CO143">
        <v>0</v>
      </c>
      <c r="CP143">
        <v>0</v>
      </c>
      <c r="CQ143">
        <v>6</v>
      </c>
      <c r="CR143">
        <v>0</v>
      </c>
      <c r="CS143">
        <v>3</v>
      </c>
      <c r="CT143">
        <v>0</v>
      </c>
      <c r="CU143">
        <v>0</v>
      </c>
      <c r="CV143">
        <v>0</v>
      </c>
      <c r="CW143">
        <v>0</v>
      </c>
      <c r="CX143">
        <v>14</v>
      </c>
      <c r="CY143">
        <v>15</v>
      </c>
      <c r="CZ143">
        <v>11</v>
      </c>
      <c r="DA143">
        <v>1</v>
      </c>
      <c r="DB143">
        <v>0</v>
      </c>
      <c r="DC143">
        <v>1</v>
      </c>
      <c r="DD143">
        <v>0</v>
      </c>
      <c r="DE143">
        <v>0</v>
      </c>
      <c r="DF143">
        <v>1</v>
      </c>
      <c r="DG143">
        <v>0</v>
      </c>
      <c r="DH143">
        <v>0</v>
      </c>
      <c r="DI143">
        <v>1</v>
      </c>
      <c r="DJ143">
        <v>15</v>
      </c>
      <c r="DK143">
        <v>98</v>
      </c>
      <c r="DL143">
        <v>76</v>
      </c>
      <c r="DM143">
        <v>15</v>
      </c>
      <c r="DN143">
        <v>1</v>
      </c>
      <c r="DO143">
        <v>1</v>
      </c>
      <c r="DP143">
        <v>2</v>
      </c>
      <c r="DQ143">
        <v>0</v>
      </c>
      <c r="DR143">
        <v>0</v>
      </c>
      <c r="DS143">
        <v>1</v>
      </c>
      <c r="DT143">
        <v>2</v>
      </c>
      <c r="DU143">
        <v>0</v>
      </c>
      <c r="DV143">
        <v>98</v>
      </c>
      <c r="DW143">
        <v>13</v>
      </c>
      <c r="DX143">
        <v>0</v>
      </c>
      <c r="DY143">
        <v>0</v>
      </c>
      <c r="DZ143">
        <v>0</v>
      </c>
      <c r="EA143">
        <v>13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13</v>
      </c>
      <c r="EI143">
        <v>1</v>
      </c>
      <c r="EJ143">
        <v>0</v>
      </c>
      <c r="EK143">
        <v>1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1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1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1</v>
      </c>
      <c r="FN143">
        <v>0</v>
      </c>
      <c r="FO143">
        <v>0</v>
      </c>
      <c r="FP143">
        <v>1</v>
      </c>
    </row>
    <row r="144" spans="1:172" ht="14.25">
      <c r="A144">
        <v>139</v>
      </c>
      <c r="B144" t="str">
        <f t="shared" si="25"/>
        <v>100501</v>
      </c>
      <c r="C144" t="str">
        <f t="shared" si="26"/>
        <v>m. Łowicz</v>
      </c>
      <c r="D144" t="str">
        <f t="shared" si="27"/>
        <v>Łowicki</v>
      </c>
      <c r="E144" t="str">
        <f t="shared" si="28"/>
        <v>łódzkie</v>
      </c>
      <c r="F144">
        <v>14</v>
      </c>
      <c r="G144" t="str">
        <f>"Szkoła Policealna Samorządu Województwa Łódzkiego, ul. Ułańska 2, 99-400 Łowicz"</f>
        <v>Szkoła Policealna Samorządu Województwa Łódzkiego, ul. Ułańska 2, 99-400 Łowicz</v>
      </c>
      <c r="H144">
        <v>1342</v>
      </c>
      <c r="I144">
        <v>1342</v>
      </c>
      <c r="J144">
        <v>0</v>
      </c>
      <c r="K144">
        <v>950</v>
      </c>
      <c r="L144">
        <v>705</v>
      </c>
      <c r="M144">
        <v>245</v>
      </c>
      <c r="N144">
        <v>245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245</v>
      </c>
      <c r="Z144">
        <v>0</v>
      </c>
      <c r="AA144">
        <v>0</v>
      </c>
      <c r="AB144">
        <v>245</v>
      </c>
      <c r="AC144">
        <v>8</v>
      </c>
      <c r="AD144">
        <v>237</v>
      </c>
      <c r="AE144">
        <v>3</v>
      </c>
      <c r="AF144">
        <v>0</v>
      </c>
      <c r="AG144">
        <v>0</v>
      </c>
      <c r="AH144">
        <v>1</v>
      </c>
      <c r="AI144">
        <v>0</v>
      </c>
      <c r="AJ144">
        <v>0</v>
      </c>
      <c r="AK144">
        <v>0</v>
      </c>
      <c r="AL144">
        <v>1</v>
      </c>
      <c r="AM144">
        <v>0</v>
      </c>
      <c r="AN144">
        <v>0</v>
      </c>
      <c r="AO144">
        <v>1</v>
      </c>
      <c r="AP144">
        <v>3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1</v>
      </c>
      <c r="BA144">
        <v>0</v>
      </c>
      <c r="BB144">
        <v>1</v>
      </c>
      <c r="BC144">
        <v>16</v>
      </c>
      <c r="BD144">
        <v>8</v>
      </c>
      <c r="BE144">
        <v>2</v>
      </c>
      <c r="BF144">
        <v>1</v>
      </c>
      <c r="BG144">
        <v>1</v>
      </c>
      <c r="BH144">
        <v>1</v>
      </c>
      <c r="BI144">
        <v>0</v>
      </c>
      <c r="BJ144">
        <v>0</v>
      </c>
      <c r="BK144">
        <v>0</v>
      </c>
      <c r="BL144">
        <v>3</v>
      </c>
      <c r="BM144">
        <v>0</v>
      </c>
      <c r="BN144">
        <v>16</v>
      </c>
      <c r="BO144">
        <v>97</v>
      </c>
      <c r="BP144">
        <v>68</v>
      </c>
      <c r="BQ144">
        <v>3</v>
      </c>
      <c r="BR144">
        <v>7</v>
      </c>
      <c r="BS144">
        <v>1</v>
      </c>
      <c r="BT144">
        <v>0</v>
      </c>
      <c r="BU144">
        <v>13</v>
      </c>
      <c r="BV144">
        <v>1</v>
      </c>
      <c r="BW144">
        <v>0</v>
      </c>
      <c r="BX144">
        <v>2</v>
      </c>
      <c r="BY144">
        <v>2</v>
      </c>
      <c r="BZ144">
        <v>97</v>
      </c>
      <c r="CA144">
        <v>8</v>
      </c>
      <c r="CB144">
        <v>3</v>
      </c>
      <c r="CC144">
        <v>0</v>
      </c>
      <c r="CD144">
        <v>2</v>
      </c>
      <c r="CE144">
        <v>0</v>
      </c>
      <c r="CF144">
        <v>0</v>
      </c>
      <c r="CG144">
        <v>0</v>
      </c>
      <c r="CH144">
        <v>1</v>
      </c>
      <c r="CI144">
        <v>1</v>
      </c>
      <c r="CJ144">
        <v>0</v>
      </c>
      <c r="CK144">
        <v>1</v>
      </c>
      <c r="CL144">
        <v>8</v>
      </c>
      <c r="CM144">
        <v>6</v>
      </c>
      <c r="CN144">
        <v>3</v>
      </c>
      <c r="CO144">
        <v>0</v>
      </c>
      <c r="CP144">
        <v>0</v>
      </c>
      <c r="CQ144">
        <v>3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6</v>
      </c>
      <c r="CY144">
        <v>22</v>
      </c>
      <c r="CZ144">
        <v>15</v>
      </c>
      <c r="DA144">
        <v>3</v>
      </c>
      <c r="DB144">
        <v>0</v>
      </c>
      <c r="DC144">
        <v>0</v>
      </c>
      <c r="DD144">
        <v>0</v>
      </c>
      <c r="DE144">
        <v>2</v>
      </c>
      <c r="DF144">
        <v>0</v>
      </c>
      <c r="DG144">
        <v>1</v>
      </c>
      <c r="DH144">
        <v>1</v>
      </c>
      <c r="DI144">
        <v>0</v>
      </c>
      <c r="DJ144">
        <v>22</v>
      </c>
      <c r="DK144">
        <v>68</v>
      </c>
      <c r="DL144">
        <v>52</v>
      </c>
      <c r="DM144">
        <v>13</v>
      </c>
      <c r="DN144">
        <v>0</v>
      </c>
      <c r="DO144">
        <v>0</v>
      </c>
      <c r="DP144">
        <v>2</v>
      </c>
      <c r="DQ144">
        <v>0</v>
      </c>
      <c r="DR144">
        <v>0</v>
      </c>
      <c r="DS144">
        <v>0</v>
      </c>
      <c r="DT144">
        <v>0</v>
      </c>
      <c r="DU144">
        <v>1</v>
      </c>
      <c r="DV144">
        <v>68</v>
      </c>
      <c r="DW144">
        <v>12</v>
      </c>
      <c r="DX144">
        <v>0</v>
      </c>
      <c r="DY144">
        <v>1</v>
      </c>
      <c r="DZ144">
        <v>0</v>
      </c>
      <c r="EA144">
        <v>11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12</v>
      </c>
      <c r="EI144">
        <v>1</v>
      </c>
      <c r="EJ144">
        <v>1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1</v>
      </c>
      <c r="ES144">
        <v>1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1</v>
      </c>
      <c r="FD144">
        <v>1</v>
      </c>
      <c r="FE144">
        <v>2</v>
      </c>
      <c r="FF144">
        <v>0</v>
      </c>
      <c r="FG144">
        <v>1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1</v>
      </c>
      <c r="FP144">
        <v>2</v>
      </c>
    </row>
    <row r="145" spans="1:172" ht="14.25">
      <c r="A145">
        <v>140</v>
      </c>
      <c r="B145" t="str">
        <f t="shared" si="25"/>
        <v>100501</v>
      </c>
      <c r="C145" t="str">
        <f t="shared" si="26"/>
        <v>m. Łowicz</v>
      </c>
      <c r="D145" t="str">
        <f t="shared" si="27"/>
        <v>Łowicki</v>
      </c>
      <c r="E145" t="str">
        <f t="shared" si="28"/>
        <v>łódzkie</v>
      </c>
      <c r="F145">
        <v>15</v>
      </c>
      <c r="G145" t="str">
        <f>"Specjalny Ośrodek Szkolno-Wychowawczy, ul. Powstańców 1863 r. 12, 99-400 Łowicz"</f>
        <v>Specjalny Ośrodek Szkolno-Wychowawczy, ul. Powstańców 1863 r. 12, 99-400 Łowicz</v>
      </c>
      <c r="H145">
        <v>1257</v>
      </c>
      <c r="I145">
        <v>1257</v>
      </c>
      <c r="J145">
        <v>0</v>
      </c>
      <c r="K145">
        <v>900</v>
      </c>
      <c r="L145">
        <v>627</v>
      </c>
      <c r="M145">
        <v>273</v>
      </c>
      <c r="N145">
        <v>273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273</v>
      </c>
      <c r="Z145">
        <v>0</v>
      </c>
      <c r="AA145">
        <v>0</v>
      </c>
      <c r="AB145">
        <v>273</v>
      </c>
      <c r="AC145">
        <v>13</v>
      </c>
      <c r="AD145">
        <v>260</v>
      </c>
      <c r="AE145">
        <v>4</v>
      </c>
      <c r="AF145">
        <v>1</v>
      </c>
      <c r="AG145">
        <v>0</v>
      </c>
      <c r="AH145">
        <v>0</v>
      </c>
      <c r="AI145">
        <v>0</v>
      </c>
      <c r="AJ145">
        <v>1</v>
      </c>
      <c r="AK145">
        <v>0</v>
      </c>
      <c r="AL145">
        <v>0</v>
      </c>
      <c r="AM145">
        <v>2</v>
      </c>
      <c r="AN145">
        <v>0</v>
      </c>
      <c r="AO145">
        <v>0</v>
      </c>
      <c r="AP145">
        <v>4</v>
      </c>
      <c r="AQ145">
        <v>2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0</v>
      </c>
      <c r="AX145">
        <v>0</v>
      </c>
      <c r="AY145">
        <v>0</v>
      </c>
      <c r="AZ145">
        <v>1</v>
      </c>
      <c r="BA145">
        <v>0</v>
      </c>
      <c r="BB145">
        <v>2</v>
      </c>
      <c r="BC145">
        <v>34</v>
      </c>
      <c r="BD145">
        <v>17</v>
      </c>
      <c r="BE145">
        <v>4</v>
      </c>
      <c r="BF145">
        <v>2</v>
      </c>
      <c r="BG145">
        <v>1</v>
      </c>
      <c r="BH145">
        <v>0</v>
      </c>
      <c r="BI145">
        <v>2</v>
      </c>
      <c r="BJ145">
        <v>0</v>
      </c>
      <c r="BK145">
        <v>4</v>
      </c>
      <c r="BL145">
        <v>2</v>
      </c>
      <c r="BM145">
        <v>2</v>
      </c>
      <c r="BN145">
        <v>34</v>
      </c>
      <c r="BO145">
        <v>100</v>
      </c>
      <c r="BP145">
        <v>77</v>
      </c>
      <c r="BQ145">
        <v>5</v>
      </c>
      <c r="BR145">
        <v>1</v>
      </c>
      <c r="BS145">
        <v>1</v>
      </c>
      <c r="BT145">
        <v>1</v>
      </c>
      <c r="BU145">
        <v>13</v>
      </c>
      <c r="BV145">
        <v>0</v>
      </c>
      <c r="BW145">
        <v>0</v>
      </c>
      <c r="BX145">
        <v>0</v>
      </c>
      <c r="BY145">
        <v>2</v>
      </c>
      <c r="BZ145">
        <v>100</v>
      </c>
      <c r="CA145">
        <v>3</v>
      </c>
      <c r="CB145">
        <v>2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1</v>
      </c>
      <c r="CL145">
        <v>3</v>
      </c>
      <c r="CM145">
        <v>13</v>
      </c>
      <c r="CN145">
        <v>4</v>
      </c>
      <c r="CO145">
        <v>0</v>
      </c>
      <c r="CP145">
        <v>0</v>
      </c>
      <c r="CQ145">
        <v>7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2</v>
      </c>
      <c r="CX145">
        <v>13</v>
      </c>
      <c r="CY145">
        <v>17</v>
      </c>
      <c r="CZ145">
        <v>7</v>
      </c>
      <c r="DA145">
        <v>1</v>
      </c>
      <c r="DB145">
        <v>3</v>
      </c>
      <c r="DC145">
        <v>1</v>
      </c>
      <c r="DD145">
        <v>1</v>
      </c>
      <c r="DE145">
        <v>0</v>
      </c>
      <c r="DF145">
        <v>2</v>
      </c>
      <c r="DG145">
        <v>1</v>
      </c>
      <c r="DH145">
        <v>1</v>
      </c>
      <c r="DI145">
        <v>0</v>
      </c>
      <c r="DJ145">
        <v>17</v>
      </c>
      <c r="DK145">
        <v>65</v>
      </c>
      <c r="DL145">
        <v>47</v>
      </c>
      <c r="DM145">
        <v>14</v>
      </c>
      <c r="DN145">
        <v>0</v>
      </c>
      <c r="DO145">
        <v>1</v>
      </c>
      <c r="DP145">
        <v>1</v>
      </c>
      <c r="DQ145">
        <v>0</v>
      </c>
      <c r="DR145">
        <v>1</v>
      </c>
      <c r="DS145">
        <v>0</v>
      </c>
      <c r="DT145">
        <v>0</v>
      </c>
      <c r="DU145">
        <v>1</v>
      </c>
      <c r="DV145">
        <v>65</v>
      </c>
      <c r="DW145">
        <v>22</v>
      </c>
      <c r="DX145">
        <v>0</v>
      </c>
      <c r="DY145">
        <v>0</v>
      </c>
      <c r="DZ145">
        <v>0</v>
      </c>
      <c r="EA145">
        <v>22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22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</row>
    <row r="146" spans="1:172" ht="14.25">
      <c r="A146">
        <v>141</v>
      </c>
      <c r="B146" t="str">
        <f t="shared" si="25"/>
        <v>100501</v>
      </c>
      <c r="C146" t="str">
        <f t="shared" si="26"/>
        <v>m. Łowicz</v>
      </c>
      <c r="D146" t="str">
        <f t="shared" si="27"/>
        <v>Łowicki</v>
      </c>
      <c r="E146" t="str">
        <f t="shared" si="28"/>
        <v>łódzkie</v>
      </c>
      <c r="F146">
        <v>16</v>
      </c>
      <c r="G146" t="str">
        <f>"Przedszkole nr 10, ul. Księżacka 26, 99-400 Łowicz"</f>
        <v>Przedszkole nr 10, ul. Księżacka 26, 99-400 Łowicz</v>
      </c>
      <c r="H146">
        <v>1308</v>
      </c>
      <c r="I146">
        <v>1308</v>
      </c>
      <c r="J146">
        <v>0</v>
      </c>
      <c r="K146">
        <v>930</v>
      </c>
      <c r="L146">
        <v>621</v>
      </c>
      <c r="M146">
        <v>309</v>
      </c>
      <c r="N146">
        <v>309</v>
      </c>
      <c r="O146">
        <v>0</v>
      </c>
      <c r="P146">
        <v>0</v>
      </c>
      <c r="Q146">
        <v>1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309</v>
      </c>
      <c r="Z146">
        <v>0</v>
      </c>
      <c r="AA146">
        <v>0</v>
      </c>
      <c r="AB146">
        <v>309</v>
      </c>
      <c r="AC146">
        <v>8</v>
      </c>
      <c r="AD146">
        <v>301</v>
      </c>
      <c r="AE146">
        <v>4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1</v>
      </c>
      <c r="AL146">
        <v>2</v>
      </c>
      <c r="AM146">
        <v>0</v>
      </c>
      <c r="AN146">
        <v>1</v>
      </c>
      <c r="AO146">
        <v>0</v>
      </c>
      <c r="AP146">
        <v>4</v>
      </c>
      <c r="AQ146">
        <v>4</v>
      </c>
      <c r="AR146">
        <v>1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1</v>
      </c>
      <c r="AY146">
        <v>0</v>
      </c>
      <c r="AZ146">
        <v>1</v>
      </c>
      <c r="BA146">
        <v>1</v>
      </c>
      <c r="BB146">
        <v>4</v>
      </c>
      <c r="BC146">
        <v>19</v>
      </c>
      <c r="BD146">
        <v>9</v>
      </c>
      <c r="BE146">
        <v>5</v>
      </c>
      <c r="BF146">
        <v>0</v>
      </c>
      <c r="BG146">
        <v>2</v>
      </c>
      <c r="BH146">
        <v>1</v>
      </c>
      <c r="BI146">
        <v>0</v>
      </c>
      <c r="BJ146">
        <v>0</v>
      </c>
      <c r="BK146">
        <v>0</v>
      </c>
      <c r="BL146">
        <v>1</v>
      </c>
      <c r="BM146">
        <v>1</v>
      </c>
      <c r="BN146">
        <v>19</v>
      </c>
      <c r="BO146">
        <v>103</v>
      </c>
      <c r="BP146">
        <v>88</v>
      </c>
      <c r="BQ146">
        <v>1</v>
      </c>
      <c r="BR146">
        <v>0</v>
      </c>
      <c r="BS146">
        <v>1</v>
      </c>
      <c r="BT146">
        <v>0</v>
      </c>
      <c r="BU146">
        <v>11</v>
      </c>
      <c r="BV146">
        <v>0</v>
      </c>
      <c r="BW146">
        <v>0</v>
      </c>
      <c r="BX146">
        <v>1</v>
      </c>
      <c r="BY146">
        <v>1</v>
      </c>
      <c r="BZ146">
        <v>103</v>
      </c>
      <c r="CA146">
        <v>11</v>
      </c>
      <c r="CB146">
        <v>5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4</v>
      </c>
      <c r="CK146">
        <v>2</v>
      </c>
      <c r="CL146">
        <v>11</v>
      </c>
      <c r="CM146">
        <v>3</v>
      </c>
      <c r="CN146">
        <v>1</v>
      </c>
      <c r="CO146">
        <v>1</v>
      </c>
      <c r="CP146">
        <v>0</v>
      </c>
      <c r="CQ146">
        <v>1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3</v>
      </c>
      <c r="CY146">
        <v>36</v>
      </c>
      <c r="CZ146">
        <v>23</v>
      </c>
      <c r="DA146">
        <v>2</v>
      </c>
      <c r="DB146">
        <v>3</v>
      </c>
      <c r="DC146">
        <v>0</v>
      </c>
      <c r="DD146">
        <v>0</v>
      </c>
      <c r="DE146">
        <v>1</v>
      </c>
      <c r="DF146">
        <v>1</v>
      </c>
      <c r="DG146">
        <v>3</v>
      </c>
      <c r="DH146">
        <v>0</v>
      </c>
      <c r="DI146">
        <v>3</v>
      </c>
      <c r="DJ146">
        <v>36</v>
      </c>
      <c r="DK146">
        <v>85</v>
      </c>
      <c r="DL146">
        <v>67</v>
      </c>
      <c r="DM146">
        <v>13</v>
      </c>
      <c r="DN146">
        <v>1</v>
      </c>
      <c r="DO146">
        <v>0</v>
      </c>
      <c r="DP146">
        <v>0</v>
      </c>
      <c r="DQ146">
        <v>0</v>
      </c>
      <c r="DR146">
        <v>1</v>
      </c>
      <c r="DS146">
        <v>1</v>
      </c>
      <c r="DT146">
        <v>0</v>
      </c>
      <c r="DU146">
        <v>2</v>
      </c>
      <c r="DV146">
        <v>85</v>
      </c>
      <c r="DW146">
        <v>33</v>
      </c>
      <c r="DX146">
        <v>0</v>
      </c>
      <c r="DY146">
        <v>1</v>
      </c>
      <c r="DZ146">
        <v>0</v>
      </c>
      <c r="EA146">
        <v>30</v>
      </c>
      <c r="EB146">
        <v>0</v>
      </c>
      <c r="EC146">
        <v>0</v>
      </c>
      <c r="ED146">
        <v>0</v>
      </c>
      <c r="EE146">
        <v>2</v>
      </c>
      <c r="EF146">
        <v>0</v>
      </c>
      <c r="EG146">
        <v>0</v>
      </c>
      <c r="EH146">
        <v>33</v>
      </c>
      <c r="EI146">
        <v>3</v>
      </c>
      <c r="EJ146">
        <v>0</v>
      </c>
      <c r="EK146">
        <v>1</v>
      </c>
      <c r="EL146">
        <v>0</v>
      </c>
      <c r="EM146">
        <v>0</v>
      </c>
      <c r="EN146">
        <v>0</v>
      </c>
      <c r="EO146">
        <v>1</v>
      </c>
      <c r="EP146">
        <v>1</v>
      </c>
      <c r="EQ146">
        <v>0</v>
      </c>
      <c r="ER146">
        <v>3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</row>
    <row r="147" spans="1:172" ht="14.25">
      <c r="A147">
        <v>142</v>
      </c>
      <c r="B147" t="str">
        <f t="shared" si="25"/>
        <v>100501</v>
      </c>
      <c r="C147" t="str">
        <f t="shared" si="26"/>
        <v>m. Łowicz</v>
      </c>
      <c r="D147" t="str">
        <f t="shared" si="27"/>
        <v>Łowicki</v>
      </c>
      <c r="E147" t="str">
        <f t="shared" si="28"/>
        <v>łódzkie</v>
      </c>
      <c r="F147">
        <v>17</v>
      </c>
      <c r="G147" t="str">
        <f>"Hala Sportowa Ośrodka Sportu i Rekreacji nr 2, ul. Topolowa 2, 99-400 Łowicz"</f>
        <v>Hala Sportowa Ośrodka Sportu i Rekreacji nr 2, ul. Topolowa 2, 99-400 Łowicz</v>
      </c>
      <c r="H147">
        <v>1134</v>
      </c>
      <c r="I147">
        <v>1134</v>
      </c>
      <c r="J147">
        <v>0</v>
      </c>
      <c r="K147">
        <v>800</v>
      </c>
      <c r="L147">
        <v>524</v>
      </c>
      <c r="M147">
        <v>276</v>
      </c>
      <c r="N147">
        <v>276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276</v>
      </c>
      <c r="Z147">
        <v>0</v>
      </c>
      <c r="AA147">
        <v>0</v>
      </c>
      <c r="AB147">
        <v>276</v>
      </c>
      <c r="AC147">
        <v>5</v>
      </c>
      <c r="AD147">
        <v>271</v>
      </c>
      <c r="AE147">
        <v>3</v>
      </c>
      <c r="AF147">
        <v>2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1</v>
      </c>
      <c r="AP147">
        <v>3</v>
      </c>
      <c r="AQ147">
        <v>8</v>
      </c>
      <c r="AR147">
        <v>4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4</v>
      </c>
      <c r="BA147">
        <v>0</v>
      </c>
      <c r="BB147">
        <v>8</v>
      </c>
      <c r="BC147">
        <v>35</v>
      </c>
      <c r="BD147">
        <v>27</v>
      </c>
      <c r="BE147">
        <v>1</v>
      </c>
      <c r="BF147">
        <v>2</v>
      </c>
      <c r="BG147">
        <v>1</v>
      </c>
      <c r="BH147">
        <v>0</v>
      </c>
      <c r="BI147">
        <v>1</v>
      </c>
      <c r="BJ147">
        <v>0</v>
      </c>
      <c r="BK147">
        <v>1</v>
      </c>
      <c r="BL147">
        <v>1</v>
      </c>
      <c r="BM147">
        <v>1</v>
      </c>
      <c r="BN147">
        <v>35</v>
      </c>
      <c r="BO147">
        <v>83</v>
      </c>
      <c r="BP147">
        <v>58</v>
      </c>
      <c r="BQ147">
        <v>5</v>
      </c>
      <c r="BR147">
        <v>5</v>
      </c>
      <c r="BS147">
        <v>0</v>
      </c>
      <c r="BT147">
        <v>0</v>
      </c>
      <c r="BU147">
        <v>10</v>
      </c>
      <c r="BV147">
        <v>1</v>
      </c>
      <c r="BW147">
        <v>1</v>
      </c>
      <c r="BX147">
        <v>0</v>
      </c>
      <c r="BY147">
        <v>3</v>
      </c>
      <c r="BZ147">
        <v>83</v>
      </c>
      <c r="CA147">
        <v>6</v>
      </c>
      <c r="CB147">
        <v>0</v>
      </c>
      <c r="CC147">
        <v>2</v>
      </c>
      <c r="CD147">
        <v>1</v>
      </c>
      <c r="CE147">
        <v>1</v>
      </c>
      <c r="CF147">
        <v>0</v>
      </c>
      <c r="CG147">
        <v>0</v>
      </c>
      <c r="CH147">
        <v>0</v>
      </c>
      <c r="CI147">
        <v>1</v>
      </c>
      <c r="CJ147">
        <v>0</v>
      </c>
      <c r="CK147">
        <v>1</v>
      </c>
      <c r="CL147">
        <v>6</v>
      </c>
      <c r="CM147">
        <v>6</v>
      </c>
      <c r="CN147">
        <v>3</v>
      </c>
      <c r="CO147">
        <v>0</v>
      </c>
      <c r="CP147">
        <v>0</v>
      </c>
      <c r="CQ147">
        <v>3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6</v>
      </c>
      <c r="CY147">
        <v>26</v>
      </c>
      <c r="CZ147">
        <v>16</v>
      </c>
      <c r="DA147">
        <v>1</v>
      </c>
      <c r="DB147">
        <v>4</v>
      </c>
      <c r="DC147">
        <v>1</v>
      </c>
      <c r="DD147">
        <v>0</v>
      </c>
      <c r="DE147">
        <v>0</v>
      </c>
      <c r="DF147">
        <v>1</v>
      </c>
      <c r="DG147">
        <v>2</v>
      </c>
      <c r="DH147">
        <v>1</v>
      </c>
      <c r="DI147">
        <v>0</v>
      </c>
      <c r="DJ147">
        <v>26</v>
      </c>
      <c r="DK147">
        <v>74</v>
      </c>
      <c r="DL147">
        <v>54</v>
      </c>
      <c r="DM147">
        <v>17</v>
      </c>
      <c r="DN147">
        <v>0</v>
      </c>
      <c r="DO147">
        <v>0</v>
      </c>
      <c r="DP147">
        <v>0</v>
      </c>
      <c r="DQ147">
        <v>0</v>
      </c>
      <c r="DR147">
        <v>1</v>
      </c>
      <c r="DS147">
        <v>0</v>
      </c>
      <c r="DT147">
        <v>2</v>
      </c>
      <c r="DU147">
        <v>0</v>
      </c>
      <c r="DV147">
        <v>74</v>
      </c>
      <c r="DW147">
        <v>25</v>
      </c>
      <c r="DX147">
        <v>1</v>
      </c>
      <c r="DY147">
        <v>0</v>
      </c>
      <c r="DZ147">
        <v>0</v>
      </c>
      <c r="EA147">
        <v>23</v>
      </c>
      <c r="EB147">
        <v>0</v>
      </c>
      <c r="EC147">
        <v>1</v>
      </c>
      <c r="ED147">
        <v>0</v>
      </c>
      <c r="EE147">
        <v>0</v>
      </c>
      <c r="EF147">
        <v>0</v>
      </c>
      <c r="EG147">
        <v>0</v>
      </c>
      <c r="EH147">
        <v>25</v>
      </c>
      <c r="EI147">
        <v>1</v>
      </c>
      <c r="EJ147">
        <v>0</v>
      </c>
      <c r="EK147">
        <v>1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1</v>
      </c>
      <c r="ES147">
        <v>3</v>
      </c>
      <c r="ET147">
        <v>1</v>
      </c>
      <c r="EU147">
        <v>0</v>
      </c>
      <c r="EV147">
        <v>0</v>
      </c>
      <c r="EW147">
        <v>0</v>
      </c>
      <c r="EX147">
        <v>0</v>
      </c>
      <c r="EY147">
        <v>1</v>
      </c>
      <c r="EZ147">
        <v>0</v>
      </c>
      <c r="FA147">
        <v>0</v>
      </c>
      <c r="FB147">
        <v>0</v>
      </c>
      <c r="FC147">
        <v>1</v>
      </c>
      <c r="FD147">
        <v>3</v>
      </c>
      <c r="FE147">
        <v>1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1</v>
      </c>
      <c r="FP147">
        <v>1</v>
      </c>
    </row>
    <row r="148" spans="1:172" ht="14.25">
      <c r="A148">
        <v>143</v>
      </c>
      <c r="B148" t="str">
        <f t="shared" si="25"/>
        <v>100501</v>
      </c>
      <c r="C148" t="str">
        <f t="shared" si="26"/>
        <v>m. Łowicz</v>
      </c>
      <c r="D148" t="str">
        <f t="shared" si="27"/>
        <v>Łowicki</v>
      </c>
      <c r="E148" t="str">
        <f t="shared" si="28"/>
        <v>łódzkie</v>
      </c>
      <c r="F148">
        <v>18</v>
      </c>
      <c r="G148" t="str">
        <f>"Zespół Szkół z Oddziałami Integracyjnymi, ul. Młodzieżowa 15, 99-400 Łowicz"</f>
        <v>Zespół Szkół z Oddziałami Integracyjnymi, ul. Młodzieżowa 15, 99-400 Łowicz</v>
      </c>
      <c r="H148">
        <v>1098</v>
      </c>
      <c r="I148">
        <v>1098</v>
      </c>
      <c r="J148">
        <v>0</v>
      </c>
      <c r="K148">
        <v>780</v>
      </c>
      <c r="L148">
        <v>533</v>
      </c>
      <c r="M148">
        <v>247</v>
      </c>
      <c r="N148">
        <v>247</v>
      </c>
      <c r="O148">
        <v>0</v>
      </c>
      <c r="P148">
        <v>0</v>
      </c>
      <c r="Q148">
        <v>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247</v>
      </c>
      <c r="Z148">
        <v>0</v>
      </c>
      <c r="AA148">
        <v>0</v>
      </c>
      <c r="AB148">
        <v>247</v>
      </c>
      <c r="AC148">
        <v>11</v>
      </c>
      <c r="AD148">
        <v>236</v>
      </c>
      <c r="AE148">
        <v>3</v>
      </c>
      <c r="AF148">
        <v>1</v>
      </c>
      <c r="AG148">
        <v>2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3</v>
      </c>
      <c r="AQ148">
        <v>7</v>
      </c>
      <c r="AR148">
        <v>6</v>
      </c>
      <c r="AS148">
        <v>1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7</v>
      </c>
      <c r="BC148">
        <v>29</v>
      </c>
      <c r="BD148">
        <v>11</v>
      </c>
      <c r="BE148">
        <v>6</v>
      </c>
      <c r="BF148">
        <v>1</v>
      </c>
      <c r="BG148">
        <v>1</v>
      </c>
      <c r="BH148">
        <v>0</v>
      </c>
      <c r="BI148">
        <v>2</v>
      </c>
      <c r="BJ148">
        <v>0</v>
      </c>
      <c r="BK148">
        <v>0</v>
      </c>
      <c r="BL148">
        <v>3</v>
      </c>
      <c r="BM148">
        <v>5</v>
      </c>
      <c r="BN148">
        <v>29</v>
      </c>
      <c r="BO148">
        <v>78</v>
      </c>
      <c r="BP148">
        <v>58</v>
      </c>
      <c r="BQ148">
        <v>3</v>
      </c>
      <c r="BR148">
        <v>7</v>
      </c>
      <c r="BS148">
        <v>0</v>
      </c>
      <c r="BT148">
        <v>0</v>
      </c>
      <c r="BU148">
        <v>7</v>
      </c>
      <c r="BV148">
        <v>0</v>
      </c>
      <c r="BW148">
        <v>0</v>
      </c>
      <c r="BX148">
        <v>1</v>
      </c>
      <c r="BY148">
        <v>2</v>
      </c>
      <c r="BZ148">
        <v>78</v>
      </c>
      <c r="CA148">
        <v>4</v>
      </c>
      <c r="CB148">
        <v>0</v>
      </c>
      <c r="CC148">
        <v>1</v>
      </c>
      <c r="CD148">
        <v>1</v>
      </c>
      <c r="CE148">
        <v>0</v>
      </c>
      <c r="CF148">
        <v>0</v>
      </c>
      <c r="CG148">
        <v>0</v>
      </c>
      <c r="CH148">
        <v>0</v>
      </c>
      <c r="CI148">
        <v>1</v>
      </c>
      <c r="CJ148">
        <v>0</v>
      </c>
      <c r="CK148">
        <v>1</v>
      </c>
      <c r="CL148">
        <v>4</v>
      </c>
      <c r="CM148">
        <v>5</v>
      </c>
      <c r="CN148">
        <v>2</v>
      </c>
      <c r="CO148">
        <v>0</v>
      </c>
      <c r="CP148">
        <v>0</v>
      </c>
      <c r="CQ148">
        <v>3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5</v>
      </c>
      <c r="CY148">
        <v>17</v>
      </c>
      <c r="CZ148">
        <v>11</v>
      </c>
      <c r="DA148">
        <v>2</v>
      </c>
      <c r="DB148">
        <v>0</v>
      </c>
      <c r="DC148">
        <v>1</v>
      </c>
      <c r="DD148">
        <v>2</v>
      </c>
      <c r="DE148">
        <v>1</v>
      </c>
      <c r="DF148">
        <v>0</v>
      </c>
      <c r="DG148">
        <v>0</v>
      </c>
      <c r="DH148">
        <v>0</v>
      </c>
      <c r="DI148">
        <v>0</v>
      </c>
      <c r="DJ148">
        <v>17</v>
      </c>
      <c r="DK148">
        <v>66</v>
      </c>
      <c r="DL148">
        <v>47</v>
      </c>
      <c r="DM148">
        <v>13</v>
      </c>
      <c r="DN148">
        <v>0</v>
      </c>
      <c r="DO148">
        <v>0</v>
      </c>
      <c r="DP148">
        <v>0</v>
      </c>
      <c r="DQ148">
        <v>2</v>
      </c>
      <c r="DR148">
        <v>0</v>
      </c>
      <c r="DS148">
        <v>1</v>
      </c>
      <c r="DT148">
        <v>1</v>
      </c>
      <c r="DU148">
        <v>2</v>
      </c>
      <c r="DV148">
        <v>66</v>
      </c>
      <c r="DW148">
        <v>22</v>
      </c>
      <c r="DX148">
        <v>1</v>
      </c>
      <c r="DY148">
        <v>0</v>
      </c>
      <c r="DZ148">
        <v>1</v>
      </c>
      <c r="EA148">
        <v>18</v>
      </c>
      <c r="EB148">
        <v>2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22</v>
      </c>
      <c r="EI148">
        <v>4</v>
      </c>
      <c r="EJ148">
        <v>0</v>
      </c>
      <c r="EK148">
        <v>3</v>
      </c>
      <c r="EL148">
        <v>0</v>
      </c>
      <c r="EM148">
        <v>1</v>
      </c>
      <c r="EN148">
        <v>0</v>
      </c>
      <c r="EO148">
        <v>0</v>
      </c>
      <c r="EP148">
        <v>0</v>
      </c>
      <c r="EQ148">
        <v>0</v>
      </c>
      <c r="ER148">
        <v>4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1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1</v>
      </c>
      <c r="FP148">
        <v>1</v>
      </c>
    </row>
    <row r="149" spans="1:172" ht="14.25">
      <c r="A149">
        <v>144</v>
      </c>
      <c r="B149" t="str">
        <f t="shared" si="25"/>
        <v>100501</v>
      </c>
      <c r="C149" t="str">
        <f t="shared" si="26"/>
        <v>m. Łowicz</v>
      </c>
      <c r="D149" t="str">
        <f t="shared" si="27"/>
        <v>Łowicki</v>
      </c>
      <c r="E149" t="str">
        <f t="shared" si="28"/>
        <v>łódzkie</v>
      </c>
      <c r="F149">
        <v>19</v>
      </c>
      <c r="G149" t="str">
        <f>"Zespół Szkół z Oddziałami Integracyjnymi, ul. Młodzieżowa 15, 99-400 Łowicz"</f>
        <v>Zespół Szkół z Oddziałami Integracyjnymi, ul. Młodzieżowa 15, 99-400 Łowicz</v>
      </c>
      <c r="H149">
        <v>1089</v>
      </c>
      <c r="I149">
        <v>1089</v>
      </c>
      <c r="J149">
        <v>0</v>
      </c>
      <c r="K149">
        <v>770</v>
      </c>
      <c r="L149">
        <v>506</v>
      </c>
      <c r="M149">
        <v>264</v>
      </c>
      <c r="N149">
        <v>264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264</v>
      </c>
      <c r="Z149">
        <v>0</v>
      </c>
      <c r="AA149">
        <v>0</v>
      </c>
      <c r="AB149">
        <v>264</v>
      </c>
      <c r="AC149">
        <v>6</v>
      </c>
      <c r="AD149">
        <v>258</v>
      </c>
      <c r="AE149">
        <v>3</v>
      </c>
      <c r="AF149">
        <v>0</v>
      </c>
      <c r="AG149">
        <v>0</v>
      </c>
      <c r="AH149">
        <v>2</v>
      </c>
      <c r="AI149">
        <v>1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3</v>
      </c>
      <c r="AQ149">
        <v>5</v>
      </c>
      <c r="AR149">
        <v>3</v>
      </c>
      <c r="AS149">
        <v>2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5</v>
      </c>
      <c r="BC149">
        <v>23</v>
      </c>
      <c r="BD149">
        <v>7</v>
      </c>
      <c r="BE149">
        <v>9</v>
      </c>
      <c r="BF149">
        <v>1</v>
      </c>
      <c r="BG149">
        <v>1</v>
      </c>
      <c r="BH149">
        <v>0</v>
      </c>
      <c r="BI149">
        <v>1</v>
      </c>
      <c r="BJ149">
        <v>0</v>
      </c>
      <c r="BK149">
        <v>2</v>
      </c>
      <c r="BL149">
        <v>1</v>
      </c>
      <c r="BM149">
        <v>1</v>
      </c>
      <c r="BN149">
        <v>23</v>
      </c>
      <c r="BO149">
        <v>87</v>
      </c>
      <c r="BP149">
        <v>67</v>
      </c>
      <c r="BQ149">
        <v>4</v>
      </c>
      <c r="BR149">
        <v>3</v>
      </c>
      <c r="BS149">
        <v>2</v>
      </c>
      <c r="BT149">
        <v>0</v>
      </c>
      <c r="BU149">
        <v>7</v>
      </c>
      <c r="BV149">
        <v>1</v>
      </c>
      <c r="BW149">
        <v>0</v>
      </c>
      <c r="BX149">
        <v>0</v>
      </c>
      <c r="BY149">
        <v>3</v>
      </c>
      <c r="BZ149">
        <v>87</v>
      </c>
      <c r="CA149">
        <v>5</v>
      </c>
      <c r="CB149">
        <v>2</v>
      </c>
      <c r="CC149">
        <v>2</v>
      </c>
      <c r="CD149">
        <v>0</v>
      </c>
      <c r="CE149">
        <v>0</v>
      </c>
      <c r="CF149">
        <v>0</v>
      </c>
      <c r="CG149">
        <v>1</v>
      </c>
      <c r="CH149">
        <v>0</v>
      </c>
      <c r="CI149">
        <v>0</v>
      </c>
      <c r="CJ149">
        <v>0</v>
      </c>
      <c r="CK149">
        <v>0</v>
      </c>
      <c r="CL149">
        <v>5</v>
      </c>
      <c r="CM149">
        <v>3</v>
      </c>
      <c r="CN149">
        <v>0</v>
      </c>
      <c r="CO149">
        <v>1</v>
      </c>
      <c r="CP149">
        <v>0</v>
      </c>
      <c r="CQ149">
        <v>2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3</v>
      </c>
      <c r="CY149">
        <v>24</v>
      </c>
      <c r="CZ149">
        <v>14</v>
      </c>
      <c r="DA149">
        <v>3</v>
      </c>
      <c r="DB149">
        <v>1</v>
      </c>
      <c r="DC149">
        <v>1</v>
      </c>
      <c r="DD149">
        <v>1</v>
      </c>
      <c r="DE149">
        <v>0</v>
      </c>
      <c r="DF149">
        <v>0</v>
      </c>
      <c r="DG149">
        <v>4</v>
      </c>
      <c r="DH149">
        <v>0</v>
      </c>
      <c r="DI149">
        <v>0</v>
      </c>
      <c r="DJ149">
        <v>24</v>
      </c>
      <c r="DK149">
        <v>72</v>
      </c>
      <c r="DL149">
        <v>53</v>
      </c>
      <c r="DM149">
        <v>13</v>
      </c>
      <c r="DN149">
        <v>0</v>
      </c>
      <c r="DO149">
        <v>1</v>
      </c>
      <c r="DP149">
        <v>0</v>
      </c>
      <c r="DQ149">
        <v>1</v>
      </c>
      <c r="DR149">
        <v>0</v>
      </c>
      <c r="DS149">
        <v>1</v>
      </c>
      <c r="DT149">
        <v>0</v>
      </c>
      <c r="DU149">
        <v>3</v>
      </c>
      <c r="DV149">
        <v>72</v>
      </c>
      <c r="DW149">
        <v>31</v>
      </c>
      <c r="DX149">
        <v>0</v>
      </c>
      <c r="DY149">
        <v>0</v>
      </c>
      <c r="DZ149">
        <v>0</v>
      </c>
      <c r="EA149">
        <v>28</v>
      </c>
      <c r="EB149">
        <v>0</v>
      </c>
      <c r="EC149">
        <v>1</v>
      </c>
      <c r="ED149">
        <v>0</v>
      </c>
      <c r="EE149">
        <v>2</v>
      </c>
      <c r="EF149">
        <v>0</v>
      </c>
      <c r="EG149">
        <v>0</v>
      </c>
      <c r="EH149">
        <v>31</v>
      </c>
      <c r="EI149">
        <v>2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2</v>
      </c>
      <c r="EQ149">
        <v>0</v>
      </c>
      <c r="ER149">
        <v>2</v>
      </c>
      <c r="ES149">
        <v>1</v>
      </c>
      <c r="ET149">
        <v>1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1</v>
      </c>
      <c r="FE149">
        <v>2</v>
      </c>
      <c r="FF149">
        <v>0</v>
      </c>
      <c r="FG149">
        <v>2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2</v>
      </c>
    </row>
    <row r="150" spans="1:172" ht="14.25">
      <c r="A150">
        <v>145</v>
      </c>
      <c r="B150" t="str">
        <f t="shared" si="25"/>
        <v>100501</v>
      </c>
      <c r="C150" t="str">
        <f t="shared" si="26"/>
        <v>m. Łowicz</v>
      </c>
      <c r="D150" t="str">
        <f t="shared" si="27"/>
        <v>Łowicki</v>
      </c>
      <c r="E150" t="str">
        <f t="shared" si="28"/>
        <v>łódzkie</v>
      </c>
      <c r="F150">
        <v>20</v>
      </c>
      <c r="G150" t="str">
        <f>"Przedszkole nr 7, ul. Wiosenna 2, 99-400 Łowicz"</f>
        <v>Przedszkole nr 7, ul. Wiosenna 2, 99-400 Łowicz</v>
      </c>
      <c r="H150">
        <v>948</v>
      </c>
      <c r="I150">
        <v>948</v>
      </c>
      <c r="J150">
        <v>0</v>
      </c>
      <c r="K150">
        <v>669</v>
      </c>
      <c r="L150">
        <v>484</v>
      </c>
      <c r="M150">
        <v>185</v>
      </c>
      <c r="N150">
        <v>185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185</v>
      </c>
      <c r="Z150">
        <v>0</v>
      </c>
      <c r="AA150">
        <v>0</v>
      </c>
      <c r="AB150">
        <v>185</v>
      </c>
      <c r="AC150">
        <v>6</v>
      </c>
      <c r="AD150">
        <v>179</v>
      </c>
      <c r="AE150">
        <v>8</v>
      </c>
      <c r="AF150">
        <v>3</v>
      </c>
      <c r="AG150">
        <v>1</v>
      </c>
      <c r="AH150">
        <v>1</v>
      </c>
      <c r="AI150">
        <v>1</v>
      </c>
      <c r="AJ150">
        <v>0</v>
      </c>
      <c r="AK150">
        <v>0</v>
      </c>
      <c r="AL150">
        <v>1</v>
      </c>
      <c r="AM150">
        <v>0</v>
      </c>
      <c r="AN150">
        <v>1</v>
      </c>
      <c r="AO150">
        <v>0</v>
      </c>
      <c r="AP150">
        <v>8</v>
      </c>
      <c r="AQ150">
        <v>2</v>
      </c>
      <c r="AR150">
        <v>0</v>
      </c>
      <c r="AS150">
        <v>1</v>
      </c>
      <c r="AT150">
        <v>0</v>
      </c>
      <c r="AU150">
        <v>0</v>
      </c>
      <c r="AV150">
        <v>1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2</v>
      </c>
      <c r="BC150">
        <v>15</v>
      </c>
      <c r="BD150">
        <v>7</v>
      </c>
      <c r="BE150">
        <v>2</v>
      </c>
      <c r="BF150">
        <v>0</v>
      </c>
      <c r="BG150">
        <v>1</v>
      </c>
      <c r="BH150">
        <v>0</v>
      </c>
      <c r="BI150">
        <v>1</v>
      </c>
      <c r="BJ150">
        <v>0</v>
      </c>
      <c r="BK150">
        <v>0</v>
      </c>
      <c r="BL150">
        <v>2</v>
      </c>
      <c r="BM150">
        <v>2</v>
      </c>
      <c r="BN150">
        <v>15</v>
      </c>
      <c r="BO150">
        <v>59</v>
      </c>
      <c r="BP150">
        <v>46</v>
      </c>
      <c r="BQ150">
        <v>1</v>
      </c>
      <c r="BR150">
        <v>5</v>
      </c>
      <c r="BS150">
        <v>1</v>
      </c>
      <c r="BT150">
        <v>1</v>
      </c>
      <c r="BU150">
        <v>4</v>
      </c>
      <c r="BV150">
        <v>0</v>
      </c>
      <c r="BW150">
        <v>0</v>
      </c>
      <c r="BX150">
        <v>0</v>
      </c>
      <c r="BY150">
        <v>1</v>
      </c>
      <c r="BZ150">
        <v>59</v>
      </c>
      <c r="CA150">
        <v>2</v>
      </c>
      <c r="CB150">
        <v>2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2</v>
      </c>
      <c r="CM150">
        <v>4</v>
      </c>
      <c r="CN150">
        <v>0</v>
      </c>
      <c r="CO150">
        <v>0</v>
      </c>
      <c r="CP150">
        <v>0</v>
      </c>
      <c r="CQ150">
        <v>4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4</v>
      </c>
      <c r="CY150">
        <v>24</v>
      </c>
      <c r="CZ150">
        <v>16</v>
      </c>
      <c r="DA150">
        <v>2</v>
      </c>
      <c r="DB150">
        <v>0</v>
      </c>
      <c r="DC150">
        <v>2</v>
      </c>
      <c r="DD150">
        <v>1</v>
      </c>
      <c r="DE150">
        <v>1</v>
      </c>
      <c r="DF150">
        <v>1</v>
      </c>
      <c r="DG150">
        <v>0</v>
      </c>
      <c r="DH150">
        <v>1</v>
      </c>
      <c r="DI150">
        <v>0</v>
      </c>
      <c r="DJ150">
        <v>24</v>
      </c>
      <c r="DK150">
        <v>48</v>
      </c>
      <c r="DL150">
        <v>34</v>
      </c>
      <c r="DM150">
        <v>11</v>
      </c>
      <c r="DN150">
        <v>1</v>
      </c>
      <c r="DO150">
        <v>0</v>
      </c>
      <c r="DP150">
        <v>0</v>
      </c>
      <c r="DQ150">
        <v>1</v>
      </c>
      <c r="DR150">
        <v>0</v>
      </c>
      <c r="DS150">
        <v>1</v>
      </c>
      <c r="DT150">
        <v>0</v>
      </c>
      <c r="DU150">
        <v>0</v>
      </c>
      <c r="DV150">
        <v>48</v>
      </c>
      <c r="DW150">
        <v>13</v>
      </c>
      <c r="DX150">
        <v>0</v>
      </c>
      <c r="DY150">
        <v>1</v>
      </c>
      <c r="DZ150">
        <v>0</v>
      </c>
      <c r="EA150">
        <v>9</v>
      </c>
      <c r="EB150">
        <v>0</v>
      </c>
      <c r="EC150">
        <v>0</v>
      </c>
      <c r="ED150">
        <v>0</v>
      </c>
      <c r="EE150">
        <v>1</v>
      </c>
      <c r="EF150">
        <v>1</v>
      </c>
      <c r="EG150">
        <v>1</v>
      </c>
      <c r="EH150">
        <v>13</v>
      </c>
      <c r="EI150">
        <v>1</v>
      </c>
      <c r="EJ150">
        <v>0</v>
      </c>
      <c r="EK150">
        <v>1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1</v>
      </c>
      <c r="ES150">
        <v>1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1</v>
      </c>
      <c r="FA150">
        <v>0</v>
      </c>
      <c r="FB150">
        <v>0</v>
      </c>
      <c r="FC150">
        <v>0</v>
      </c>
      <c r="FD150">
        <v>1</v>
      </c>
      <c r="FE150">
        <v>2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2</v>
      </c>
      <c r="FP150">
        <v>2</v>
      </c>
    </row>
    <row r="151" spans="1:172" ht="14.25">
      <c r="A151">
        <v>146</v>
      </c>
      <c r="B151" t="str">
        <f t="shared" si="25"/>
        <v>100501</v>
      </c>
      <c r="C151" t="str">
        <f t="shared" si="26"/>
        <v>m. Łowicz</v>
      </c>
      <c r="D151" t="str">
        <f t="shared" si="27"/>
        <v>Łowicki</v>
      </c>
      <c r="E151" t="str">
        <f t="shared" si="28"/>
        <v>łódzkie</v>
      </c>
      <c r="F151">
        <v>21</v>
      </c>
      <c r="G151" t="str">
        <f>"Przedszkole nr 7, ul. Wiosenna 2, 99-400 Łowicz"</f>
        <v>Przedszkole nr 7, ul. Wiosenna 2, 99-400 Łowicz</v>
      </c>
      <c r="H151">
        <v>946</v>
      </c>
      <c r="I151">
        <v>946</v>
      </c>
      <c r="J151">
        <v>0</v>
      </c>
      <c r="K151">
        <v>670</v>
      </c>
      <c r="L151">
        <v>461</v>
      </c>
      <c r="M151">
        <v>209</v>
      </c>
      <c r="N151">
        <v>209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209</v>
      </c>
      <c r="Z151">
        <v>0</v>
      </c>
      <c r="AA151">
        <v>0</v>
      </c>
      <c r="AB151">
        <v>209</v>
      </c>
      <c r="AC151">
        <v>7</v>
      </c>
      <c r="AD151">
        <v>202</v>
      </c>
      <c r="AE151">
        <v>11</v>
      </c>
      <c r="AF151">
        <v>3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7</v>
      </c>
      <c r="AM151">
        <v>0</v>
      </c>
      <c r="AN151">
        <v>1</v>
      </c>
      <c r="AO151">
        <v>0</v>
      </c>
      <c r="AP151">
        <v>11</v>
      </c>
      <c r="AQ151">
        <v>5</v>
      </c>
      <c r="AR151">
        <v>5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5</v>
      </c>
      <c r="BC151">
        <v>14</v>
      </c>
      <c r="BD151">
        <v>8</v>
      </c>
      <c r="BE151">
        <v>3</v>
      </c>
      <c r="BF151">
        <v>0</v>
      </c>
      <c r="BG151">
        <v>1</v>
      </c>
      <c r="BH151">
        <v>1</v>
      </c>
      <c r="BI151">
        <v>1</v>
      </c>
      <c r="BJ151">
        <v>0</v>
      </c>
      <c r="BK151">
        <v>0</v>
      </c>
      <c r="BL151">
        <v>0</v>
      </c>
      <c r="BM151">
        <v>0</v>
      </c>
      <c r="BN151">
        <v>14</v>
      </c>
      <c r="BO151">
        <v>75</v>
      </c>
      <c r="BP151">
        <v>65</v>
      </c>
      <c r="BQ151">
        <v>1</v>
      </c>
      <c r="BR151">
        <v>0</v>
      </c>
      <c r="BS151">
        <v>0</v>
      </c>
      <c r="BT151">
        <v>0</v>
      </c>
      <c r="BU151">
        <v>8</v>
      </c>
      <c r="BV151">
        <v>1</v>
      </c>
      <c r="BW151">
        <v>0</v>
      </c>
      <c r="BX151">
        <v>0</v>
      </c>
      <c r="BY151">
        <v>0</v>
      </c>
      <c r="BZ151">
        <v>75</v>
      </c>
      <c r="CA151">
        <v>1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1</v>
      </c>
      <c r="CI151">
        <v>0</v>
      </c>
      <c r="CJ151">
        <v>0</v>
      </c>
      <c r="CK151">
        <v>0</v>
      </c>
      <c r="CL151">
        <v>1</v>
      </c>
      <c r="CM151">
        <v>18</v>
      </c>
      <c r="CN151">
        <v>2</v>
      </c>
      <c r="CO151">
        <v>1</v>
      </c>
      <c r="CP151">
        <v>0</v>
      </c>
      <c r="CQ151">
        <v>15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18</v>
      </c>
      <c r="CY151">
        <v>16</v>
      </c>
      <c r="CZ151">
        <v>15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1</v>
      </c>
      <c r="DI151">
        <v>0</v>
      </c>
      <c r="DJ151">
        <v>16</v>
      </c>
      <c r="DK151">
        <v>38</v>
      </c>
      <c r="DL151">
        <v>32</v>
      </c>
      <c r="DM151">
        <v>4</v>
      </c>
      <c r="DN151">
        <v>0</v>
      </c>
      <c r="DO151">
        <v>0</v>
      </c>
      <c r="DP151">
        <v>1</v>
      </c>
      <c r="DQ151">
        <v>0</v>
      </c>
      <c r="DR151">
        <v>0</v>
      </c>
      <c r="DS151">
        <v>0</v>
      </c>
      <c r="DT151">
        <v>0</v>
      </c>
      <c r="DU151">
        <v>1</v>
      </c>
      <c r="DV151">
        <v>38</v>
      </c>
      <c r="DW151">
        <v>20</v>
      </c>
      <c r="DX151">
        <v>0</v>
      </c>
      <c r="DY151">
        <v>2</v>
      </c>
      <c r="DZ151">
        <v>0</v>
      </c>
      <c r="EA151">
        <v>16</v>
      </c>
      <c r="EB151">
        <v>0</v>
      </c>
      <c r="EC151">
        <v>2</v>
      </c>
      <c r="ED151">
        <v>0</v>
      </c>
      <c r="EE151">
        <v>0</v>
      </c>
      <c r="EF151">
        <v>0</v>
      </c>
      <c r="EG151">
        <v>0</v>
      </c>
      <c r="EH151">
        <v>20</v>
      </c>
      <c r="EI151">
        <v>2</v>
      </c>
      <c r="EJ151">
        <v>0</v>
      </c>
      <c r="EK151">
        <v>2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2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2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1</v>
      </c>
      <c r="FM151">
        <v>0</v>
      </c>
      <c r="FN151">
        <v>0</v>
      </c>
      <c r="FO151">
        <v>1</v>
      </c>
      <c r="FP151">
        <v>2</v>
      </c>
    </row>
    <row r="152" spans="1:172" ht="14.25">
      <c r="A152">
        <v>147</v>
      </c>
      <c r="B152" t="str">
        <f t="shared" si="25"/>
        <v>100501</v>
      </c>
      <c r="C152" t="str">
        <f t="shared" si="26"/>
        <v>m. Łowicz</v>
      </c>
      <c r="D152" t="str">
        <f t="shared" si="27"/>
        <v>Łowicki</v>
      </c>
      <c r="E152" t="str">
        <f t="shared" si="28"/>
        <v>łódzkie</v>
      </c>
      <c r="F152">
        <v>22</v>
      </c>
      <c r="G152" t="str">
        <f>"Szpital Zespołu Opieki Zdrowotnej, ul. Ułańska 28, 99-400 Łowicz"</f>
        <v>Szpital Zespołu Opieki Zdrowotnej, ul. Ułańska 28, 99-400 Łowicz</v>
      </c>
      <c r="H152">
        <v>49</v>
      </c>
      <c r="I152">
        <v>49</v>
      </c>
      <c r="J152">
        <v>0</v>
      </c>
      <c r="K152">
        <v>95</v>
      </c>
      <c r="L152">
        <v>80</v>
      </c>
      <c r="M152">
        <v>15</v>
      </c>
      <c r="N152">
        <v>15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15</v>
      </c>
      <c r="Z152">
        <v>0</v>
      </c>
      <c r="AA152">
        <v>0</v>
      </c>
      <c r="AB152">
        <v>15</v>
      </c>
      <c r="AC152">
        <v>1</v>
      </c>
      <c r="AD152">
        <v>14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1</v>
      </c>
      <c r="AN152">
        <v>0</v>
      </c>
      <c r="AO152">
        <v>0</v>
      </c>
      <c r="AP152">
        <v>1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8</v>
      </c>
      <c r="BP152">
        <v>8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8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1</v>
      </c>
      <c r="CZ152">
        <v>1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1</v>
      </c>
      <c r="DK152">
        <v>2</v>
      </c>
      <c r="DL152">
        <v>1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1</v>
      </c>
      <c r="DT152">
        <v>0</v>
      </c>
      <c r="DU152">
        <v>0</v>
      </c>
      <c r="DV152">
        <v>2</v>
      </c>
      <c r="DW152">
        <v>2</v>
      </c>
      <c r="DX152">
        <v>0</v>
      </c>
      <c r="DY152">
        <v>0</v>
      </c>
      <c r="DZ152">
        <v>0</v>
      </c>
      <c r="EA152">
        <v>2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2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</row>
    <row r="153" spans="1:172" ht="14.25">
      <c r="A153">
        <v>148</v>
      </c>
      <c r="B153" t="str">
        <f t="shared" si="25"/>
        <v>100501</v>
      </c>
      <c r="C153" t="str">
        <f t="shared" si="26"/>
        <v>m. Łowicz</v>
      </c>
      <c r="D153" t="str">
        <f t="shared" si="27"/>
        <v>Łowicki</v>
      </c>
      <c r="E153" t="str">
        <f t="shared" si="28"/>
        <v>łódzkie</v>
      </c>
      <c r="F153">
        <v>23</v>
      </c>
      <c r="G153" t="str">
        <f>"Zakład Karny, ul. Wiejska 3, 99-400 Łowicz"</f>
        <v>Zakład Karny, ul. Wiejska 3, 99-400 Łowicz</v>
      </c>
      <c r="H153">
        <v>661</v>
      </c>
      <c r="I153">
        <v>661</v>
      </c>
      <c r="J153">
        <v>0</v>
      </c>
      <c r="K153">
        <v>700</v>
      </c>
      <c r="L153">
        <v>547</v>
      </c>
      <c r="M153">
        <v>153</v>
      </c>
      <c r="N153">
        <v>153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153</v>
      </c>
      <c r="Z153">
        <v>0</v>
      </c>
      <c r="AA153">
        <v>0</v>
      </c>
      <c r="AB153">
        <v>153</v>
      </c>
      <c r="AC153">
        <v>29</v>
      </c>
      <c r="AD153">
        <v>124</v>
      </c>
      <c r="AE153">
        <v>1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1</v>
      </c>
      <c r="AM153">
        <v>0</v>
      </c>
      <c r="AN153">
        <v>0</v>
      </c>
      <c r="AO153">
        <v>0</v>
      </c>
      <c r="AP153">
        <v>1</v>
      </c>
      <c r="AQ153">
        <v>2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0</v>
      </c>
      <c r="AX153">
        <v>0</v>
      </c>
      <c r="AY153">
        <v>1</v>
      </c>
      <c r="AZ153">
        <v>0</v>
      </c>
      <c r="BA153">
        <v>0</v>
      </c>
      <c r="BB153">
        <v>2</v>
      </c>
      <c r="BC153">
        <v>6</v>
      </c>
      <c r="BD153">
        <v>4</v>
      </c>
      <c r="BE153">
        <v>0</v>
      </c>
      <c r="BF153">
        <v>0</v>
      </c>
      <c r="BG153">
        <v>0</v>
      </c>
      <c r="BH153">
        <v>0</v>
      </c>
      <c r="BI153">
        <v>2</v>
      </c>
      <c r="BJ153">
        <v>0</v>
      </c>
      <c r="BK153">
        <v>0</v>
      </c>
      <c r="BL153">
        <v>0</v>
      </c>
      <c r="BM153">
        <v>0</v>
      </c>
      <c r="BN153">
        <v>6</v>
      </c>
      <c r="BO153">
        <v>6</v>
      </c>
      <c r="BP153">
        <v>4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0</v>
      </c>
      <c r="BX153">
        <v>0</v>
      </c>
      <c r="BY153">
        <v>1</v>
      </c>
      <c r="BZ153">
        <v>6</v>
      </c>
      <c r="CA153">
        <v>5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1</v>
      </c>
      <c r="CJ153">
        <v>4</v>
      </c>
      <c r="CK153">
        <v>0</v>
      </c>
      <c r="CL153">
        <v>5</v>
      </c>
      <c r="CM153">
        <v>58</v>
      </c>
      <c r="CN153">
        <v>1</v>
      </c>
      <c r="CO153">
        <v>3</v>
      </c>
      <c r="CP153">
        <v>1</v>
      </c>
      <c r="CQ153">
        <v>51</v>
      </c>
      <c r="CR153">
        <v>0</v>
      </c>
      <c r="CS153">
        <v>0</v>
      </c>
      <c r="CT153">
        <v>0</v>
      </c>
      <c r="CU153">
        <v>1</v>
      </c>
      <c r="CV153">
        <v>0</v>
      </c>
      <c r="CW153">
        <v>1</v>
      </c>
      <c r="CX153">
        <v>58</v>
      </c>
      <c r="CY153">
        <v>2</v>
      </c>
      <c r="CZ153">
        <v>1</v>
      </c>
      <c r="DA153">
        <v>0</v>
      </c>
      <c r="DB153">
        <v>0</v>
      </c>
      <c r="DC153">
        <v>0</v>
      </c>
      <c r="DD153">
        <v>1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2</v>
      </c>
      <c r="DK153">
        <v>38</v>
      </c>
      <c r="DL153">
        <v>10</v>
      </c>
      <c r="DM153">
        <v>16</v>
      </c>
      <c r="DN153">
        <v>0</v>
      </c>
      <c r="DO153">
        <v>5</v>
      </c>
      <c r="DP153">
        <v>0</v>
      </c>
      <c r="DQ153">
        <v>2</v>
      </c>
      <c r="DR153">
        <v>2</v>
      </c>
      <c r="DS153">
        <v>3</v>
      </c>
      <c r="DT153">
        <v>0</v>
      </c>
      <c r="DU153">
        <v>0</v>
      </c>
      <c r="DV153">
        <v>38</v>
      </c>
      <c r="DW153">
        <v>1</v>
      </c>
      <c r="DX153">
        <v>1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1</v>
      </c>
      <c r="EI153">
        <v>2</v>
      </c>
      <c r="EJ153">
        <v>0</v>
      </c>
      <c r="EK153">
        <v>2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2</v>
      </c>
      <c r="ES153">
        <v>1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1</v>
      </c>
      <c r="FB153">
        <v>0</v>
      </c>
      <c r="FC153">
        <v>0</v>
      </c>
      <c r="FD153">
        <v>1</v>
      </c>
      <c r="FE153">
        <v>2</v>
      </c>
      <c r="FF153">
        <v>0</v>
      </c>
      <c r="FG153">
        <v>0</v>
      </c>
      <c r="FH153">
        <v>1</v>
      </c>
      <c r="FI153">
        <v>0</v>
      </c>
      <c r="FJ153">
        <v>0</v>
      </c>
      <c r="FK153">
        <v>0</v>
      </c>
      <c r="FL153">
        <v>0</v>
      </c>
      <c r="FM153">
        <v>1</v>
      </c>
      <c r="FN153">
        <v>0</v>
      </c>
      <c r="FO153">
        <v>0</v>
      </c>
      <c r="FP153">
        <v>2</v>
      </c>
    </row>
    <row r="154" spans="1:172" ht="14.25">
      <c r="A154">
        <v>149</v>
      </c>
      <c r="B154" t="str">
        <f aca="true" t="shared" si="29" ref="B154:B161">"100502"</f>
        <v>100502</v>
      </c>
      <c r="C154" t="str">
        <f aca="true" t="shared" si="30" ref="C154:C161">"Bielawy"</f>
        <v>Bielawy</v>
      </c>
      <c r="D154" t="str">
        <f t="shared" si="27"/>
        <v>Łowicki</v>
      </c>
      <c r="E154" t="str">
        <f t="shared" si="28"/>
        <v>łódzkie</v>
      </c>
      <c r="F154">
        <v>1</v>
      </c>
      <c r="G154" t="str">
        <f>"Szkoła Podstawowa, ul.Parzew 20A, 99-423 Bielawy"</f>
        <v>Szkoła Podstawowa, ul.Parzew 20A, 99-423 Bielawy</v>
      </c>
      <c r="H154">
        <v>1320</v>
      </c>
      <c r="I154">
        <v>1320</v>
      </c>
      <c r="J154">
        <v>0</v>
      </c>
      <c r="K154">
        <v>931</v>
      </c>
      <c r="L154">
        <v>721</v>
      </c>
      <c r="M154">
        <v>210</v>
      </c>
      <c r="N154">
        <v>210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210</v>
      </c>
      <c r="Z154">
        <v>0</v>
      </c>
      <c r="AA154">
        <v>0</v>
      </c>
      <c r="AB154">
        <v>210</v>
      </c>
      <c r="AC154">
        <v>11</v>
      </c>
      <c r="AD154">
        <v>199</v>
      </c>
      <c r="AE154">
        <v>3</v>
      </c>
      <c r="AF154">
        <v>3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3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16</v>
      </c>
      <c r="BD154">
        <v>7</v>
      </c>
      <c r="BE154">
        <v>0</v>
      </c>
      <c r="BF154">
        <v>0</v>
      </c>
      <c r="BG154">
        <v>1</v>
      </c>
      <c r="BH154">
        <v>1</v>
      </c>
      <c r="BI154">
        <v>0</v>
      </c>
      <c r="BJ154">
        <v>2</v>
      </c>
      <c r="BK154">
        <v>2</v>
      </c>
      <c r="BL154">
        <v>1</v>
      </c>
      <c r="BM154">
        <v>2</v>
      </c>
      <c r="BN154">
        <v>16</v>
      </c>
      <c r="BO154">
        <v>51</v>
      </c>
      <c r="BP154">
        <v>41</v>
      </c>
      <c r="BQ154">
        <v>2</v>
      </c>
      <c r="BR154">
        <v>0</v>
      </c>
      <c r="BS154">
        <v>1</v>
      </c>
      <c r="BT154">
        <v>0</v>
      </c>
      <c r="BU154">
        <v>5</v>
      </c>
      <c r="BV154">
        <v>0</v>
      </c>
      <c r="BW154">
        <v>0</v>
      </c>
      <c r="BX154">
        <v>1</v>
      </c>
      <c r="BY154">
        <v>1</v>
      </c>
      <c r="BZ154">
        <v>51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6</v>
      </c>
      <c r="CN154">
        <v>1</v>
      </c>
      <c r="CO154">
        <v>0</v>
      </c>
      <c r="CP154">
        <v>0</v>
      </c>
      <c r="CQ154">
        <v>5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6</v>
      </c>
      <c r="CY154">
        <v>29</v>
      </c>
      <c r="CZ154">
        <v>21</v>
      </c>
      <c r="DA154">
        <v>2</v>
      </c>
      <c r="DB154">
        <v>0</v>
      </c>
      <c r="DC154">
        <v>2</v>
      </c>
      <c r="DD154">
        <v>0</v>
      </c>
      <c r="DE154">
        <v>0</v>
      </c>
      <c r="DF154">
        <v>0</v>
      </c>
      <c r="DG154">
        <v>1</v>
      </c>
      <c r="DH154">
        <v>0</v>
      </c>
      <c r="DI154">
        <v>3</v>
      </c>
      <c r="DJ154">
        <v>29</v>
      </c>
      <c r="DK154">
        <v>48</v>
      </c>
      <c r="DL154">
        <v>26</v>
      </c>
      <c r="DM154">
        <v>17</v>
      </c>
      <c r="DN154">
        <v>2</v>
      </c>
      <c r="DO154">
        <v>0</v>
      </c>
      <c r="DP154">
        <v>0</v>
      </c>
      <c r="DQ154">
        <v>1</v>
      </c>
      <c r="DR154">
        <v>0</v>
      </c>
      <c r="DS154">
        <v>0</v>
      </c>
      <c r="DT154">
        <v>1</v>
      </c>
      <c r="DU154">
        <v>1</v>
      </c>
      <c r="DV154">
        <v>48</v>
      </c>
      <c r="DW154">
        <v>41</v>
      </c>
      <c r="DX154">
        <v>2</v>
      </c>
      <c r="DY154">
        <v>2</v>
      </c>
      <c r="DZ154">
        <v>1</v>
      </c>
      <c r="EA154">
        <v>34</v>
      </c>
      <c r="EB154">
        <v>0</v>
      </c>
      <c r="EC154">
        <v>0</v>
      </c>
      <c r="ED154">
        <v>0</v>
      </c>
      <c r="EE154">
        <v>0</v>
      </c>
      <c r="EF154">
        <v>1</v>
      </c>
      <c r="EG154">
        <v>1</v>
      </c>
      <c r="EH154">
        <v>41</v>
      </c>
      <c r="EI154">
        <v>5</v>
      </c>
      <c r="EJ154">
        <v>0</v>
      </c>
      <c r="EK154">
        <v>5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5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</row>
    <row r="155" spans="1:172" ht="14.25">
      <c r="A155">
        <v>150</v>
      </c>
      <c r="B155" t="str">
        <f t="shared" si="29"/>
        <v>100502</v>
      </c>
      <c r="C155" t="str">
        <f t="shared" si="30"/>
        <v>Bielawy</v>
      </c>
      <c r="D155" t="str">
        <f t="shared" si="27"/>
        <v>Łowicki</v>
      </c>
      <c r="E155" t="str">
        <f t="shared" si="28"/>
        <v>łódzkie</v>
      </c>
      <c r="F155">
        <v>2</v>
      </c>
      <c r="G155" t="str">
        <f>"Zespół Szkolno-Przedszkolny, ul.Warszawska 22, Sobota, 99-423 Bielawy"</f>
        <v>Zespół Szkolno-Przedszkolny, ul.Warszawska 22, Sobota, 99-423 Bielawy</v>
      </c>
      <c r="H155">
        <v>780</v>
      </c>
      <c r="I155">
        <v>780</v>
      </c>
      <c r="J155">
        <v>0</v>
      </c>
      <c r="K155">
        <v>550</v>
      </c>
      <c r="L155">
        <v>441</v>
      </c>
      <c r="M155">
        <v>109</v>
      </c>
      <c r="N155">
        <v>109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109</v>
      </c>
      <c r="Z155">
        <v>0</v>
      </c>
      <c r="AA155">
        <v>0</v>
      </c>
      <c r="AB155">
        <v>109</v>
      </c>
      <c r="AC155">
        <v>2</v>
      </c>
      <c r="AD155">
        <v>107</v>
      </c>
      <c r="AE155">
        <v>6</v>
      </c>
      <c r="AF155">
        <v>6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6</v>
      </c>
      <c r="AQ155">
        <v>2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0</v>
      </c>
      <c r="AX155">
        <v>0</v>
      </c>
      <c r="AY155">
        <v>0</v>
      </c>
      <c r="AZ155">
        <v>1</v>
      </c>
      <c r="BA155">
        <v>0</v>
      </c>
      <c r="BB155">
        <v>2</v>
      </c>
      <c r="BC155">
        <v>9</v>
      </c>
      <c r="BD155">
        <v>3</v>
      </c>
      <c r="BE155">
        <v>2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1</v>
      </c>
      <c r="BL155">
        <v>1</v>
      </c>
      <c r="BM155">
        <v>2</v>
      </c>
      <c r="BN155">
        <v>9</v>
      </c>
      <c r="BO155">
        <v>35</v>
      </c>
      <c r="BP155">
        <v>33</v>
      </c>
      <c r="BQ155">
        <v>2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35</v>
      </c>
      <c r="CA155">
        <v>1</v>
      </c>
      <c r="CB155">
        <v>1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1</v>
      </c>
      <c r="CM155">
        <v>4</v>
      </c>
      <c r="CN155">
        <v>1</v>
      </c>
      <c r="CO155">
        <v>0</v>
      </c>
      <c r="CP155">
        <v>0</v>
      </c>
      <c r="CQ155">
        <v>3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4</v>
      </c>
      <c r="CY155">
        <v>7</v>
      </c>
      <c r="CZ155">
        <v>3</v>
      </c>
      <c r="DA155">
        <v>3</v>
      </c>
      <c r="DB155">
        <v>0</v>
      </c>
      <c r="DC155">
        <v>0</v>
      </c>
      <c r="DD155">
        <v>0</v>
      </c>
      <c r="DE155">
        <v>1</v>
      </c>
      <c r="DF155">
        <v>0</v>
      </c>
      <c r="DG155">
        <v>0</v>
      </c>
      <c r="DH155">
        <v>0</v>
      </c>
      <c r="DI155">
        <v>0</v>
      </c>
      <c r="DJ155">
        <v>7</v>
      </c>
      <c r="DK155">
        <v>6</v>
      </c>
      <c r="DL155">
        <v>3</v>
      </c>
      <c r="DM155">
        <v>1</v>
      </c>
      <c r="DN155">
        <v>0</v>
      </c>
      <c r="DO155">
        <v>0</v>
      </c>
      <c r="DP155">
        <v>0</v>
      </c>
      <c r="DQ155">
        <v>0</v>
      </c>
      <c r="DR155">
        <v>2</v>
      </c>
      <c r="DS155">
        <v>0</v>
      </c>
      <c r="DT155">
        <v>0</v>
      </c>
      <c r="DU155">
        <v>0</v>
      </c>
      <c r="DV155">
        <v>6</v>
      </c>
      <c r="DW155">
        <v>32</v>
      </c>
      <c r="DX155">
        <v>1</v>
      </c>
      <c r="DY155">
        <v>3</v>
      </c>
      <c r="DZ155">
        <v>1</v>
      </c>
      <c r="EA155">
        <v>25</v>
      </c>
      <c r="EB155">
        <v>1</v>
      </c>
      <c r="EC155">
        <v>0</v>
      </c>
      <c r="ED155">
        <v>1</v>
      </c>
      <c r="EE155">
        <v>0</v>
      </c>
      <c r="EF155">
        <v>0</v>
      </c>
      <c r="EG155">
        <v>0</v>
      </c>
      <c r="EH155">
        <v>32</v>
      </c>
      <c r="EI155">
        <v>1</v>
      </c>
      <c r="EJ155">
        <v>0</v>
      </c>
      <c r="EK155">
        <v>1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1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4</v>
      </c>
      <c r="FF155">
        <v>1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2</v>
      </c>
      <c r="FN155">
        <v>1</v>
      </c>
      <c r="FO155">
        <v>0</v>
      </c>
      <c r="FP155">
        <v>4</v>
      </c>
    </row>
    <row r="156" spans="1:172" ht="14.25">
      <c r="A156">
        <v>151</v>
      </c>
      <c r="B156" t="str">
        <f t="shared" si="29"/>
        <v>100502</v>
      </c>
      <c r="C156" t="str">
        <f t="shared" si="30"/>
        <v>Bielawy</v>
      </c>
      <c r="D156" t="str">
        <f t="shared" si="27"/>
        <v>Łowicki</v>
      </c>
      <c r="E156" t="str">
        <f t="shared" si="28"/>
        <v>łódzkie</v>
      </c>
      <c r="F156">
        <v>3</v>
      </c>
      <c r="G156" t="str">
        <f>"Dom Ludowy, Chruślin 47A, 99-423 Bielawy"</f>
        <v>Dom Ludowy, Chruślin 47A, 99-423 Bielawy</v>
      </c>
      <c r="H156">
        <v>659</v>
      </c>
      <c r="I156">
        <v>659</v>
      </c>
      <c r="J156">
        <v>0</v>
      </c>
      <c r="K156">
        <v>460</v>
      </c>
      <c r="L156">
        <v>345</v>
      </c>
      <c r="M156">
        <v>115</v>
      </c>
      <c r="N156">
        <v>115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115</v>
      </c>
      <c r="Z156">
        <v>0</v>
      </c>
      <c r="AA156">
        <v>0</v>
      </c>
      <c r="AB156">
        <v>115</v>
      </c>
      <c r="AC156">
        <v>11</v>
      </c>
      <c r="AD156">
        <v>104</v>
      </c>
      <c r="AE156">
        <v>2</v>
      </c>
      <c r="AF156">
        <v>1</v>
      </c>
      <c r="AG156">
        <v>1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2</v>
      </c>
      <c r="AQ156">
        <v>3</v>
      </c>
      <c r="AR156">
        <v>2</v>
      </c>
      <c r="AS156">
        <v>0</v>
      </c>
      <c r="AT156">
        <v>0</v>
      </c>
      <c r="AU156">
        <v>1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3</v>
      </c>
      <c r="BC156">
        <v>6</v>
      </c>
      <c r="BD156">
        <v>2</v>
      </c>
      <c r="BE156">
        <v>0</v>
      </c>
      <c r="BF156">
        <v>1</v>
      </c>
      <c r="BG156">
        <v>1</v>
      </c>
      <c r="BH156">
        <v>1</v>
      </c>
      <c r="BI156">
        <v>0</v>
      </c>
      <c r="BJ156">
        <v>0</v>
      </c>
      <c r="BK156">
        <v>0</v>
      </c>
      <c r="BL156">
        <v>0</v>
      </c>
      <c r="BM156">
        <v>1</v>
      </c>
      <c r="BN156">
        <v>6</v>
      </c>
      <c r="BO156">
        <v>37</v>
      </c>
      <c r="BP156">
        <v>32</v>
      </c>
      <c r="BQ156">
        <v>0</v>
      </c>
      <c r="BR156">
        <v>2</v>
      </c>
      <c r="BS156">
        <v>0</v>
      </c>
      <c r="BT156">
        <v>0</v>
      </c>
      <c r="BU156">
        <v>2</v>
      </c>
      <c r="BV156">
        <v>0</v>
      </c>
      <c r="BW156">
        <v>0</v>
      </c>
      <c r="BX156">
        <v>0</v>
      </c>
      <c r="BY156">
        <v>1</v>
      </c>
      <c r="BZ156">
        <v>37</v>
      </c>
      <c r="CA156">
        <v>1</v>
      </c>
      <c r="CB156">
        <v>1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1</v>
      </c>
      <c r="CM156">
        <v>8</v>
      </c>
      <c r="CN156">
        <v>1</v>
      </c>
      <c r="CO156">
        <v>0</v>
      </c>
      <c r="CP156">
        <v>0</v>
      </c>
      <c r="CQ156">
        <v>7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8</v>
      </c>
      <c r="CY156">
        <v>9</v>
      </c>
      <c r="CZ156">
        <v>6</v>
      </c>
      <c r="DA156">
        <v>0</v>
      </c>
      <c r="DB156">
        <v>0</v>
      </c>
      <c r="DC156">
        <v>1</v>
      </c>
      <c r="DD156">
        <v>0</v>
      </c>
      <c r="DE156">
        <v>0</v>
      </c>
      <c r="DF156">
        <v>0</v>
      </c>
      <c r="DG156">
        <v>1</v>
      </c>
      <c r="DH156">
        <v>1</v>
      </c>
      <c r="DI156">
        <v>0</v>
      </c>
      <c r="DJ156">
        <v>9</v>
      </c>
      <c r="DK156">
        <v>8</v>
      </c>
      <c r="DL156">
        <v>6</v>
      </c>
      <c r="DM156">
        <v>2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8</v>
      </c>
      <c r="DW156">
        <v>29</v>
      </c>
      <c r="DX156">
        <v>0</v>
      </c>
      <c r="DY156">
        <v>0</v>
      </c>
      <c r="DZ156">
        <v>0</v>
      </c>
      <c r="EA156">
        <v>21</v>
      </c>
      <c r="EB156">
        <v>0</v>
      </c>
      <c r="EC156">
        <v>0</v>
      </c>
      <c r="ED156">
        <v>0</v>
      </c>
      <c r="EE156">
        <v>0</v>
      </c>
      <c r="EF156">
        <v>8</v>
      </c>
      <c r="EG156">
        <v>0</v>
      </c>
      <c r="EH156">
        <v>29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1</v>
      </c>
      <c r="ET156">
        <v>1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1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</row>
    <row r="157" spans="1:172" ht="14.25">
      <c r="A157">
        <v>152</v>
      </c>
      <c r="B157" t="str">
        <f t="shared" si="29"/>
        <v>100502</v>
      </c>
      <c r="C157" t="str">
        <f t="shared" si="30"/>
        <v>Bielawy</v>
      </c>
      <c r="D157" t="str">
        <f t="shared" si="27"/>
        <v>Łowicki</v>
      </c>
      <c r="E157" t="str">
        <f t="shared" si="28"/>
        <v>łódzkie</v>
      </c>
      <c r="F157">
        <v>4</v>
      </c>
      <c r="G157" t="str">
        <f>"Zespół Szkół Stowarzyszenia Rozwoju Wsi Waliszew i Okolic im.Jana Pawła II, Stary Waliszew 20A, 99-423 Bielawy"</f>
        <v>Zespół Szkół Stowarzyszenia Rozwoju Wsi Waliszew i Okolic im.Jana Pawła II, Stary Waliszew 20A, 99-423 Bielawy</v>
      </c>
      <c r="H157">
        <v>658</v>
      </c>
      <c r="I157">
        <v>658</v>
      </c>
      <c r="J157">
        <v>0</v>
      </c>
      <c r="K157">
        <v>470</v>
      </c>
      <c r="L157">
        <v>326</v>
      </c>
      <c r="M157">
        <v>144</v>
      </c>
      <c r="N157">
        <v>144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144</v>
      </c>
      <c r="Z157">
        <v>0</v>
      </c>
      <c r="AA157">
        <v>0</v>
      </c>
      <c r="AB157">
        <v>144</v>
      </c>
      <c r="AC157">
        <v>12</v>
      </c>
      <c r="AD157">
        <v>132</v>
      </c>
      <c r="AE157">
        <v>3</v>
      </c>
      <c r="AF157">
        <v>2</v>
      </c>
      <c r="AG157">
        <v>0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3</v>
      </c>
      <c r="AQ157">
        <v>4</v>
      </c>
      <c r="AR157">
        <v>4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4</v>
      </c>
      <c r="BC157">
        <v>26</v>
      </c>
      <c r="BD157">
        <v>17</v>
      </c>
      <c r="BE157">
        <v>0</v>
      </c>
      <c r="BF157">
        <v>0</v>
      </c>
      <c r="BG157">
        <v>0</v>
      </c>
      <c r="BH157">
        <v>8</v>
      </c>
      <c r="BI157">
        <v>0</v>
      </c>
      <c r="BJ157">
        <v>0</v>
      </c>
      <c r="BK157">
        <v>0</v>
      </c>
      <c r="BL157">
        <v>0</v>
      </c>
      <c r="BM157">
        <v>1</v>
      </c>
      <c r="BN157">
        <v>26</v>
      </c>
      <c r="BO157">
        <v>45</v>
      </c>
      <c r="BP157">
        <v>38</v>
      </c>
      <c r="BQ157">
        <v>1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2</v>
      </c>
      <c r="BX157">
        <v>0</v>
      </c>
      <c r="BY157">
        <v>4</v>
      </c>
      <c r="BZ157">
        <v>45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2</v>
      </c>
      <c r="CN157">
        <v>1</v>
      </c>
      <c r="CO157">
        <v>0</v>
      </c>
      <c r="CP157">
        <v>0</v>
      </c>
      <c r="CQ157">
        <v>1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2</v>
      </c>
      <c r="CY157">
        <v>7</v>
      </c>
      <c r="CZ157">
        <v>2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4</v>
      </c>
      <c r="DI157">
        <v>1</v>
      </c>
      <c r="DJ157">
        <v>7</v>
      </c>
      <c r="DK157">
        <v>7</v>
      </c>
      <c r="DL157">
        <v>4</v>
      </c>
      <c r="DM157">
        <v>2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1</v>
      </c>
      <c r="DT157">
        <v>0</v>
      </c>
      <c r="DU157">
        <v>0</v>
      </c>
      <c r="DV157">
        <v>7</v>
      </c>
      <c r="DW157">
        <v>31</v>
      </c>
      <c r="DX157">
        <v>4</v>
      </c>
      <c r="DY157">
        <v>8</v>
      </c>
      <c r="DZ157">
        <v>0</v>
      </c>
      <c r="EA157">
        <v>11</v>
      </c>
      <c r="EB157">
        <v>0</v>
      </c>
      <c r="EC157">
        <v>1</v>
      </c>
      <c r="ED157">
        <v>0</v>
      </c>
      <c r="EE157">
        <v>0</v>
      </c>
      <c r="EF157">
        <v>7</v>
      </c>
      <c r="EG157">
        <v>0</v>
      </c>
      <c r="EH157">
        <v>31</v>
      </c>
      <c r="EI157">
        <v>2</v>
      </c>
      <c r="EJ157">
        <v>1</v>
      </c>
      <c r="EK157">
        <v>1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2</v>
      </c>
      <c r="ES157">
        <v>3</v>
      </c>
      <c r="ET157">
        <v>1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1</v>
      </c>
      <c r="FA157">
        <v>1</v>
      </c>
      <c r="FB157">
        <v>0</v>
      </c>
      <c r="FC157">
        <v>0</v>
      </c>
      <c r="FD157">
        <v>3</v>
      </c>
      <c r="FE157">
        <v>2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1</v>
      </c>
      <c r="FO157">
        <v>1</v>
      </c>
      <c r="FP157">
        <v>2</v>
      </c>
    </row>
    <row r="158" spans="1:172" ht="14.25">
      <c r="A158">
        <v>153</v>
      </c>
      <c r="B158" t="str">
        <f t="shared" si="29"/>
        <v>100502</v>
      </c>
      <c r="C158" t="str">
        <f t="shared" si="30"/>
        <v>Bielawy</v>
      </c>
      <c r="D158" t="str">
        <f t="shared" si="27"/>
        <v>Łowicki</v>
      </c>
      <c r="E158" t="str">
        <f t="shared" si="28"/>
        <v>łódzkie</v>
      </c>
      <c r="F158">
        <v>5</v>
      </c>
      <c r="G158" t="str">
        <f>"Budynek Administracyjno Biurowy, Borów 48/2, 99-423 Bielawy"</f>
        <v>Budynek Administracyjno Biurowy, Borów 48/2, 99-423 Bielawy</v>
      </c>
      <c r="H158">
        <v>637</v>
      </c>
      <c r="I158">
        <v>637</v>
      </c>
      <c r="J158">
        <v>0</v>
      </c>
      <c r="K158">
        <v>450</v>
      </c>
      <c r="L158">
        <v>374</v>
      </c>
      <c r="M158">
        <v>76</v>
      </c>
      <c r="N158">
        <v>76</v>
      </c>
      <c r="O158">
        <v>0</v>
      </c>
      <c r="P158">
        <v>0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76</v>
      </c>
      <c r="Z158">
        <v>0</v>
      </c>
      <c r="AA158">
        <v>0</v>
      </c>
      <c r="AB158">
        <v>76</v>
      </c>
      <c r="AC158">
        <v>4</v>
      </c>
      <c r="AD158">
        <v>72</v>
      </c>
      <c r="AE158">
        <v>1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1</v>
      </c>
      <c r="AO158">
        <v>0</v>
      </c>
      <c r="AP158">
        <v>1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14</v>
      </c>
      <c r="BD158">
        <v>11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3</v>
      </c>
      <c r="BL158">
        <v>0</v>
      </c>
      <c r="BM158">
        <v>0</v>
      </c>
      <c r="BN158">
        <v>14</v>
      </c>
      <c r="BO158">
        <v>27</v>
      </c>
      <c r="BP158">
        <v>21</v>
      </c>
      <c r="BQ158">
        <v>0</v>
      </c>
      <c r="BR158">
        <v>0</v>
      </c>
      <c r="BS158">
        <v>1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5</v>
      </c>
      <c r="BZ158">
        <v>27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6</v>
      </c>
      <c r="CN158">
        <v>1</v>
      </c>
      <c r="CO158">
        <v>2</v>
      </c>
      <c r="CP158">
        <v>0</v>
      </c>
      <c r="CQ158">
        <v>3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6</v>
      </c>
      <c r="CY158">
        <v>4</v>
      </c>
      <c r="CZ158">
        <v>1</v>
      </c>
      <c r="DA158">
        <v>1</v>
      </c>
      <c r="DB158">
        <v>0</v>
      </c>
      <c r="DC158">
        <v>0</v>
      </c>
      <c r="DD158">
        <v>1</v>
      </c>
      <c r="DE158">
        <v>1</v>
      </c>
      <c r="DF158">
        <v>0</v>
      </c>
      <c r="DG158">
        <v>0</v>
      </c>
      <c r="DH158">
        <v>0</v>
      </c>
      <c r="DI158">
        <v>0</v>
      </c>
      <c r="DJ158">
        <v>4</v>
      </c>
      <c r="DK158">
        <v>5</v>
      </c>
      <c r="DL158">
        <v>3</v>
      </c>
      <c r="DM158">
        <v>1</v>
      </c>
      <c r="DN158">
        <v>0</v>
      </c>
      <c r="DO158">
        <v>1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5</v>
      </c>
      <c r="DW158">
        <v>13</v>
      </c>
      <c r="DX158">
        <v>2</v>
      </c>
      <c r="DY158">
        <v>1</v>
      </c>
      <c r="DZ158">
        <v>0</v>
      </c>
      <c r="EA158">
        <v>8</v>
      </c>
      <c r="EB158">
        <v>0</v>
      </c>
      <c r="EC158">
        <v>1</v>
      </c>
      <c r="ED158">
        <v>0</v>
      </c>
      <c r="EE158">
        <v>1</v>
      </c>
      <c r="EF158">
        <v>0</v>
      </c>
      <c r="EG158">
        <v>0</v>
      </c>
      <c r="EH158">
        <v>13</v>
      </c>
      <c r="EI158">
        <v>2</v>
      </c>
      <c r="EJ158">
        <v>0</v>
      </c>
      <c r="EK158">
        <v>2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2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</row>
    <row r="159" spans="1:172" ht="14.25">
      <c r="A159">
        <v>154</v>
      </c>
      <c r="B159" t="str">
        <f t="shared" si="29"/>
        <v>100502</v>
      </c>
      <c r="C159" t="str">
        <f t="shared" si="30"/>
        <v>Bielawy</v>
      </c>
      <c r="D159" t="str">
        <f t="shared" si="27"/>
        <v>Łowicki</v>
      </c>
      <c r="E159" t="str">
        <f t="shared" si="28"/>
        <v>łódzkie</v>
      </c>
      <c r="F159">
        <v>6</v>
      </c>
      <c r="G159" t="str">
        <f>"Szkoła Podstawowa, Oszkowice 29, 99-423 Bielawy"</f>
        <v>Szkoła Podstawowa, Oszkowice 29, 99-423 Bielawy</v>
      </c>
      <c r="H159">
        <v>559</v>
      </c>
      <c r="I159">
        <v>559</v>
      </c>
      <c r="J159">
        <v>0</v>
      </c>
      <c r="K159">
        <v>390</v>
      </c>
      <c r="L159">
        <v>293</v>
      </c>
      <c r="M159">
        <v>97</v>
      </c>
      <c r="N159">
        <v>97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97</v>
      </c>
      <c r="Z159">
        <v>0</v>
      </c>
      <c r="AA159">
        <v>0</v>
      </c>
      <c r="AB159">
        <v>97</v>
      </c>
      <c r="AC159">
        <v>2</v>
      </c>
      <c r="AD159">
        <v>95</v>
      </c>
      <c r="AE159">
        <v>1</v>
      </c>
      <c r="AF159">
        <v>1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1</v>
      </c>
      <c r="AQ159">
        <v>1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1</v>
      </c>
      <c r="BA159">
        <v>0</v>
      </c>
      <c r="BB159">
        <v>1</v>
      </c>
      <c r="BC159">
        <v>3</v>
      </c>
      <c r="BD159">
        <v>3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3</v>
      </c>
      <c r="BO159">
        <v>47</v>
      </c>
      <c r="BP159">
        <v>40</v>
      </c>
      <c r="BQ159">
        <v>1</v>
      </c>
      <c r="BR159">
        <v>0</v>
      </c>
      <c r="BS159">
        <v>1</v>
      </c>
      <c r="BT159">
        <v>1</v>
      </c>
      <c r="BU159">
        <v>0</v>
      </c>
      <c r="BV159">
        <v>0</v>
      </c>
      <c r="BW159">
        <v>0</v>
      </c>
      <c r="BX159">
        <v>0</v>
      </c>
      <c r="BY159">
        <v>4</v>
      </c>
      <c r="BZ159">
        <v>47</v>
      </c>
      <c r="CA159">
        <v>2</v>
      </c>
      <c r="CB159">
        <v>0</v>
      </c>
      <c r="CC159">
        <v>0</v>
      </c>
      <c r="CD159">
        <v>1</v>
      </c>
      <c r="CE159">
        <v>0</v>
      </c>
      <c r="CF159">
        <v>1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2</v>
      </c>
      <c r="CM159">
        <v>4</v>
      </c>
      <c r="CN159">
        <v>0</v>
      </c>
      <c r="CO159">
        <v>0</v>
      </c>
      <c r="CP159">
        <v>0</v>
      </c>
      <c r="CQ159">
        <v>3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4</v>
      </c>
      <c r="CY159">
        <v>5</v>
      </c>
      <c r="CZ159">
        <v>5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5</v>
      </c>
      <c r="DK159">
        <v>3</v>
      </c>
      <c r="DL159">
        <v>2</v>
      </c>
      <c r="DM159">
        <v>1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3</v>
      </c>
      <c r="DW159">
        <v>25</v>
      </c>
      <c r="DX159">
        <v>1</v>
      </c>
      <c r="DY159">
        <v>2</v>
      </c>
      <c r="DZ159">
        <v>0</v>
      </c>
      <c r="EA159">
        <v>19</v>
      </c>
      <c r="EB159">
        <v>0</v>
      </c>
      <c r="EC159">
        <v>0</v>
      </c>
      <c r="ED159">
        <v>0</v>
      </c>
      <c r="EE159">
        <v>0</v>
      </c>
      <c r="EF159">
        <v>3</v>
      </c>
      <c r="EG159">
        <v>0</v>
      </c>
      <c r="EH159">
        <v>25</v>
      </c>
      <c r="EI159">
        <v>3</v>
      </c>
      <c r="EJ159">
        <v>0</v>
      </c>
      <c r="EK159">
        <v>3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3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1</v>
      </c>
      <c r="FF159">
        <v>1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1</v>
      </c>
    </row>
    <row r="160" spans="1:172" ht="14.25">
      <c r="A160">
        <v>155</v>
      </c>
      <c r="B160" t="str">
        <f t="shared" si="29"/>
        <v>100502</v>
      </c>
      <c r="C160" t="str">
        <f t="shared" si="30"/>
        <v>Bielawy</v>
      </c>
      <c r="D160" t="str">
        <f t="shared" si="27"/>
        <v>Łowicki</v>
      </c>
      <c r="E160" t="str">
        <f t="shared" si="28"/>
        <v>łódzkie</v>
      </c>
      <c r="F160">
        <v>7</v>
      </c>
      <c r="G160" t="str">
        <f>"Dom Pomocy Społecznej, Borówek 56, 99-423 Bielawy"</f>
        <v>Dom Pomocy Społecznej, Borówek 56, 99-423 Bielawy</v>
      </c>
      <c r="H160">
        <v>70</v>
      </c>
      <c r="I160">
        <v>70</v>
      </c>
      <c r="J160">
        <v>0</v>
      </c>
      <c r="K160">
        <v>71</v>
      </c>
      <c r="L160">
        <v>47</v>
      </c>
      <c r="M160">
        <v>24</v>
      </c>
      <c r="N160">
        <v>24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24</v>
      </c>
      <c r="Z160">
        <v>0</v>
      </c>
      <c r="AA160">
        <v>0</v>
      </c>
      <c r="AB160">
        <v>24</v>
      </c>
      <c r="AC160">
        <v>7</v>
      </c>
      <c r="AD160">
        <v>17</v>
      </c>
      <c r="AE160">
        <v>5</v>
      </c>
      <c r="AF160">
        <v>2</v>
      </c>
      <c r="AG160">
        <v>0</v>
      </c>
      <c r="AH160">
        <v>0</v>
      </c>
      <c r="AI160">
        <v>0</v>
      </c>
      <c r="AJ160">
        <v>1</v>
      </c>
      <c r="AK160">
        <v>0</v>
      </c>
      <c r="AL160">
        <v>1</v>
      </c>
      <c r="AM160">
        <v>0</v>
      </c>
      <c r="AN160">
        <v>1</v>
      </c>
      <c r="AO160">
        <v>0</v>
      </c>
      <c r="AP160">
        <v>5</v>
      </c>
      <c r="AQ160">
        <v>1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1</v>
      </c>
      <c r="BB160">
        <v>1</v>
      </c>
      <c r="BC160">
        <v>1</v>
      </c>
      <c r="BD160">
        <v>0</v>
      </c>
      <c r="BE160">
        <v>0</v>
      </c>
      <c r="BF160">
        <v>1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1</v>
      </c>
      <c r="BO160">
        <v>4</v>
      </c>
      <c r="BP160">
        <v>1</v>
      </c>
      <c r="BQ160">
        <v>0</v>
      </c>
      <c r="BR160">
        <v>0</v>
      </c>
      <c r="BS160">
        <v>2</v>
      </c>
      <c r="BT160">
        <v>0</v>
      </c>
      <c r="BU160">
        <v>0</v>
      </c>
      <c r="BV160">
        <v>1</v>
      </c>
      <c r="BW160">
        <v>0</v>
      </c>
      <c r="BX160">
        <v>0</v>
      </c>
      <c r="BY160">
        <v>0</v>
      </c>
      <c r="BZ160">
        <v>4</v>
      </c>
      <c r="CA160">
        <v>1</v>
      </c>
      <c r="CB160">
        <v>0</v>
      </c>
      <c r="CC160">
        <v>0</v>
      </c>
      <c r="CD160">
        <v>0</v>
      </c>
      <c r="CE160">
        <v>0</v>
      </c>
      <c r="CF160">
        <v>1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1</v>
      </c>
      <c r="CM160">
        <v>1</v>
      </c>
      <c r="CN160">
        <v>1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1</v>
      </c>
      <c r="CY160">
        <v>1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1</v>
      </c>
      <c r="DI160">
        <v>0</v>
      </c>
      <c r="DJ160">
        <v>1</v>
      </c>
      <c r="DK160">
        <v>1</v>
      </c>
      <c r="DL160">
        <v>1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1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2</v>
      </c>
      <c r="FF160">
        <v>1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1</v>
      </c>
      <c r="FN160">
        <v>0</v>
      </c>
      <c r="FO160">
        <v>0</v>
      </c>
      <c r="FP160">
        <v>2</v>
      </c>
    </row>
    <row r="161" spans="1:172" ht="14.25">
      <c r="A161">
        <v>156</v>
      </c>
      <c r="B161" t="str">
        <f t="shared" si="29"/>
        <v>100502</v>
      </c>
      <c r="C161" t="str">
        <f t="shared" si="30"/>
        <v>Bielawy</v>
      </c>
      <c r="D161" t="str">
        <f t="shared" si="27"/>
        <v>Łowicki</v>
      </c>
      <c r="E161" t="str">
        <f t="shared" si="28"/>
        <v>łódzkie</v>
      </c>
      <c r="F161">
        <v>8</v>
      </c>
      <c r="G161" t="str">
        <f>"Oddział Fizjoterapii i Rehabilitacji w Stanisławowie Szpitala Zespolu Opieki Zdrowotnej w Łowiczu, Rulice 31, 99-423 Bielawy"</f>
        <v>Oddział Fizjoterapii i Rehabilitacji w Stanisławowie Szpitala Zespolu Opieki Zdrowotnej w Łowiczu, Rulice 31, 99-423 Bielawy</v>
      </c>
      <c r="H161">
        <v>43</v>
      </c>
      <c r="I161">
        <v>43</v>
      </c>
      <c r="J161">
        <v>0</v>
      </c>
      <c r="K161">
        <v>40</v>
      </c>
      <c r="L161">
        <v>1</v>
      </c>
      <c r="M161">
        <v>39</v>
      </c>
      <c r="N161">
        <v>39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39</v>
      </c>
      <c r="Z161">
        <v>0</v>
      </c>
      <c r="AA161">
        <v>0</v>
      </c>
      <c r="AB161">
        <v>39</v>
      </c>
      <c r="AC161">
        <v>7</v>
      </c>
      <c r="AD161">
        <v>32</v>
      </c>
      <c r="AE161">
        <v>3</v>
      </c>
      <c r="AF161">
        <v>2</v>
      </c>
      <c r="AG161">
        <v>0</v>
      </c>
      <c r="AH161">
        <v>0</v>
      </c>
      <c r="AI161">
        <v>0</v>
      </c>
      <c r="AJ161">
        <v>0</v>
      </c>
      <c r="AK161">
        <v>1</v>
      </c>
      <c r="AL161">
        <v>0</v>
      </c>
      <c r="AM161">
        <v>0</v>
      </c>
      <c r="AN161">
        <v>0</v>
      </c>
      <c r="AO161">
        <v>0</v>
      </c>
      <c r="AP161">
        <v>3</v>
      </c>
      <c r="AQ161">
        <v>2</v>
      </c>
      <c r="AR161">
        <v>0</v>
      </c>
      <c r="AS161">
        <v>0</v>
      </c>
      <c r="AT161">
        <v>0</v>
      </c>
      <c r="AU161">
        <v>1</v>
      </c>
      <c r="AV161">
        <v>0</v>
      </c>
      <c r="AW161">
        <v>1</v>
      </c>
      <c r="AX161">
        <v>0</v>
      </c>
      <c r="AY161">
        <v>0</v>
      </c>
      <c r="AZ161">
        <v>0</v>
      </c>
      <c r="BA161">
        <v>0</v>
      </c>
      <c r="BB161">
        <v>2</v>
      </c>
      <c r="BC161">
        <v>1</v>
      </c>
      <c r="BD161">
        <v>0</v>
      </c>
      <c r="BE161">
        <v>1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1</v>
      </c>
      <c r="BO161">
        <v>17</v>
      </c>
      <c r="BP161">
        <v>15</v>
      </c>
      <c r="BQ161">
        <v>1</v>
      </c>
      <c r="BR161">
        <v>1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17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1</v>
      </c>
      <c r="CN161">
        <v>1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1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5</v>
      </c>
      <c r="DL161">
        <v>2</v>
      </c>
      <c r="DM161">
        <v>1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2</v>
      </c>
      <c r="DV161">
        <v>5</v>
      </c>
      <c r="DW161">
        <v>2</v>
      </c>
      <c r="DX161">
        <v>0</v>
      </c>
      <c r="DY161">
        <v>1</v>
      </c>
      <c r="DZ161">
        <v>0</v>
      </c>
      <c r="EA161">
        <v>1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2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1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1</v>
      </c>
      <c r="EZ161">
        <v>0</v>
      </c>
      <c r="FA161">
        <v>0</v>
      </c>
      <c r="FB161">
        <v>0</v>
      </c>
      <c r="FC161">
        <v>0</v>
      </c>
      <c r="FD161">
        <v>1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</row>
    <row r="162" spans="1:172" ht="14.25">
      <c r="A162">
        <v>157</v>
      </c>
      <c r="B162" t="str">
        <f>"100503"</f>
        <v>100503</v>
      </c>
      <c r="C162" t="str">
        <f>"Chąśno"</f>
        <v>Chąśno</v>
      </c>
      <c r="D162" t="str">
        <f t="shared" si="27"/>
        <v>Łowicki</v>
      </c>
      <c r="E162" t="str">
        <f t="shared" si="28"/>
        <v>łódzkie</v>
      </c>
      <c r="F162">
        <v>1</v>
      </c>
      <c r="G162" t="str">
        <f>"Zespół Szkół Publicznych, Błędów 20, 99-413 Chąśno"</f>
        <v>Zespół Szkół Publicznych, Błędów 20, 99-413 Chąśno</v>
      </c>
      <c r="H162">
        <v>743</v>
      </c>
      <c r="I162">
        <v>743</v>
      </c>
      <c r="J162">
        <v>0</v>
      </c>
      <c r="K162">
        <v>520</v>
      </c>
      <c r="L162">
        <v>314</v>
      </c>
      <c r="M162">
        <v>206</v>
      </c>
      <c r="N162">
        <v>206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206</v>
      </c>
      <c r="Z162">
        <v>0</v>
      </c>
      <c r="AA162">
        <v>0</v>
      </c>
      <c r="AB162">
        <v>206</v>
      </c>
      <c r="AC162">
        <v>4</v>
      </c>
      <c r="AD162">
        <v>202</v>
      </c>
      <c r="AE162">
        <v>3</v>
      </c>
      <c r="AF162">
        <v>0</v>
      </c>
      <c r="AG162">
        <v>0</v>
      </c>
      <c r="AH162">
        <v>2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3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143</v>
      </c>
      <c r="BP162">
        <v>129</v>
      </c>
      <c r="BQ162">
        <v>1</v>
      </c>
      <c r="BR162">
        <v>2</v>
      </c>
      <c r="BS162">
        <v>0</v>
      </c>
      <c r="BT162">
        <v>0</v>
      </c>
      <c r="BU162">
        <v>9</v>
      </c>
      <c r="BV162">
        <v>0</v>
      </c>
      <c r="BW162">
        <v>1</v>
      </c>
      <c r="BX162">
        <v>1</v>
      </c>
      <c r="BY162">
        <v>0</v>
      </c>
      <c r="BZ162">
        <v>143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2</v>
      </c>
      <c r="CY162">
        <v>6</v>
      </c>
      <c r="CZ162">
        <v>5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1</v>
      </c>
      <c r="DJ162">
        <v>6</v>
      </c>
      <c r="DK162">
        <v>10</v>
      </c>
      <c r="DL162">
        <v>4</v>
      </c>
      <c r="DM162">
        <v>3</v>
      </c>
      <c r="DN162">
        <v>0</v>
      </c>
      <c r="DO162">
        <v>0</v>
      </c>
      <c r="DP162">
        <v>0</v>
      </c>
      <c r="DQ162">
        <v>1</v>
      </c>
      <c r="DR162">
        <v>0</v>
      </c>
      <c r="DS162">
        <v>1</v>
      </c>
      <c r="DT162">
        <v>0</v>
      </c>
      <c r="DU162">
        <v>1</v>
      </c>
      <c r="DV162">
        <v>10</v>
      </c>
      <c r="DW162">
        <v>37</v>
      </c>
      <c r="DX162">
        <v>2</v>
      </c>
      <c r="DY162">
        <v>1</v>
      </c>
      <c r="DZ162">
        <v>0</v>
      </c>
      <c r="EA162">
        <v>26</v>
      </c>
      <c r="EB162">
        <v>1</v>
      </c>
      <c r="EC162">
        <v>0</v>
      </c>
      <c r="ED162">
        <v>0</v>
      </c>
      <c r="EE162">
        <v>7</v>
      </c>
      <c r="EF162">
        <v>0</v>
      </c>
      <c r="EG162">
        <v>0</v>
      </c>
      <c r="EH162">
        <v>37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1</v>
      </c>
      <c r="FF162">
        <v>0</v>
      </c>
      <c r="FG162">
        <v>0</v>
      </c>
      <c r="FH162">
        <v>0</v>
      </c>
      <c r="FI162">
        <v>0</v>
      </c>
      <c r="FJ162">
        <v>1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1</v>
      </c>
    </row>
    <row r="163" spans="1:172" ht="14.25">
      <c r="A163">
        <v>158</v>
      </c>
      <c r="B163" t="str">
        <f>"100503"</f>
        <v>100503</v>
      </c>
      <c r="C163" t="str">
        <f>"Chąśno"</f>
        <v>Chąśno</v>
      </c>
      <c r="D163" t="str">
        <f aca="true" t="shared" si="31" ref="D163:D194">"Łowicki"</f>
        <v>Łowicki</v>
      </c>
      <c r="E163" t="str">
        <f t="shared" si="28"/>
        <v>łódzkie</v>
      </c>
      <c r="F163">
        <v>2</v>
      </c>
      <c r="G163" t="str">
        <f>"Urząd Gminy, Chąśno 55, 99-413 Chąśno"</f>
        <v>Urząd Gminy, Chąśno 55, 99-413 Chąśno</v>
      </c>
      <c r="H163">
        <v>979</v>
      </c>
      <c r="I163">
        <v>979</v>
      </c>
      <c r="J163">
        <v>0</v>
      </c>
      <c r="K163">
        <v>690</v>
      </c>
      <c r="L163">
        <v>518</v>
      </c>
      <c r="M163">
        <v>172</v>
      </c>
      <c r="N163">
        <v>172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172</v>
      </c>
      <c r="Z163">
        <v>0</v>
      </c>
      <c r="AA163">
        <v>0</v>
      </c>
      <c r="AB163">
        <v>172</v>
      </c>
      <c r="AC163">
        <v>4</v>
      </c>
      <c r="AD163">
        <v>168</v>
      </c>
      <c r="AE163">
        <v>2</v>
      </c>
      <c r="AF163">
        <v>1</v>
      </c>
      <c r="AG163">
        <v>0</v>
      </c>
      <c r="AH163">
        <v>0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2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2</v>
      </c>
      <c r="BD163">
        <v>1</v>
      </c>
      <c r="BE163">
        <v>0</v>
      </c>
      <c r="BF163">
        <v>0</v>
      </c>
      <c r="BG163">
        <v>0</v>
      </c>
      <c r="BH163">
        <v>1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2</v>
      </c>
      <c r="BO163">
        <v>59</v>
      </c>
      <c r="BP163">
        <v>54</v>
      </c>
      <c r="BQ163">
        <v>2</v>
      </c>
      <c r="BR163">
        <v>1</v>
      </c>
      <c r="BS163">
        <v>2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59</v>
      </c>
      <c r="CA163">
        <v>1</v>
      </c>
      <c r="CB163">
        <v>1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1</v>
      </c>
      <c r="CM163">
        <v>7</v>
      </c>
      <c r="CN163">
        <v>5</v>
      </c>
      <c r="CO163">
        <v>0</v>
      </c>
      <c r="CP163">
        <v>0</v>
      </c>
      <c r="CQ163">
        <v>2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7</v>
      </c>
      <c r="CY163">
        <v>18</v>
      </c>
      <c r="CZ163">
        <v>13</v>
      </c>
      <c r="DA163">
        <v>2</v>
      </c>
      <c r="DB163">
        <v>0</v>
      </c>
      <c r="DC163">
        <v>0</v>
      </c>
      <c r="DD163">
        <v>0</v>
      </c>
      <c r="DE163">
        <v>0</v>
      </c>
      <c r="DF163">
        <v>1</v>
      </c>
      <c r="DG163">
        <v>1</v>
      </c>
      <c r="DH163">
        <v>0</v>
      </c>
      <c r="DI163">
        <v>1</v>
      </c>
      <c r="DJ163">
        <v>18</v>
      </c>
      <c r="DK163">
        <v>13</v>
      </c>
      <c r="DL163">
        <v>12</v>
      </c>
      <c r="DM163">
        <v>1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13</v>
      </c>
      <c r="DW163">
        <v>62</v>
      </c>
      <c r="DX163">
        <v>3</v>
      </c>
      <c r="DY163">
        <v>4</v>
      </c>
      <c r="DZ163">
        <v>0</v>
      </c>
      <c r="EA163">
        <v>50</v>
      </c>
      <c r="EB163">
        <v>0</v>
      </c>
      <c r="EC163">
        <v>0</v>
      </c>
      <c r="ED163">
        <v>0</v>
      </c>
      <c r="EE163">
        <v>4</v>
      </c>
      <c r="EF163">
        <v>1</v>
      </c>
      <c r="EG163">
        <v>0</v>
      </c>
      <c r="EH163">
        <v>62</v>
      </c>
      <c r="EI163">
        <v>1</v>
      </c>
      <c r="EJ163">
        <v>0</v>
      </c>
      <c r="EK163">
        <v>0</v>
      </c>
      <c r="EL163">
        <v>0</v>
      </c>
      <c r="EM163">
        <v>0</v>
      </c>
      <c r="EN163">
        <v>1</v>
      </c>
      <c r="EO163">
        <v>0</v>
      </c>
      <c r="EP163">
        <v>0</v>
      </c>
      <c r="EQ163">
        <v>0</v>
      </c>
      <c r="ER163">
        <v>1</v>
      </c>
      <c r="ES163">
        <v>2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2</v>
      </c>
      <c r="FA163">
        <v>0</v>
      </c>
      <c r="FB163">
        <v>0</v>
      </c>
      <c r="FC163">
        <v>0</v>
      </c>
      <c r="FD163">
        <v>2</v>
      </c>
      <c r="FE163">
        <v>1</v>
      </c>
      <c r="FF163">
        <v>1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1</v>
      </c>
    </row>
    <row r="164" spans="1:172" ht="14.25">
      <c r="A164">
        <v>159</v>
      </c>
      <c r="B164" t="str">
        <f>"100503"</f>
        <v>100503</v>
      </c>
      <c r="C164" t="str">
        <f>"Chąśno"</f>
        <v>Chąśno</v>
      </c>
      <c r="D164" t="str">
        <f t="shared" si="31"/>
        <v>Łowicki</v>
      </c>
      <c r="E164" t="str">
        <f t="shared" si="28"/>
        <v>łódzkie</v>
      </c>
      <c r="F164">
        <v>3</v>
      </c>
      <c r="G164" t="str">
        <f>"Szkoła Podstawowa, Mastki 1, 99-413 Chąśno"</f>
        <v>Szkoła Podstawowa, Mastki 1, 99-413 Chąśno</v>
      </c>
      <c r="H164">
        <v>741</v>
      </c>
      <c r="I164">
        <v>741</v>
      </c>
      <c r="J164">
        <v>0</v>
      </c>
      <c r="K164">
        <v>520</v>
      </c>
      <c r="L164">
        <v>356</v>
      </c>
      <c r="M164">
        <v>164</v>
      </c>
      <c r="N164">
        <v>164</v>
      </c>
      <c r="O164">
        <v>0</v>
      </c>
      <c r="P164">
        <v>0</v>
      </c>
      <c r="Q164">
        <v>2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164</v>
      </c>
      <c r="Z164">
        <v>0</v>
      </c>
      <c r="AA164">
        <v>0</v>
      </c>
      <c r="AB164">
        <v>164</v>
      </c>
      <c r="AC164">
        <v>16</v>
      </c>
      <c r="AD164">
        <v>148</v>
      </c>
      <c r="AE164">
        <v>3</v>
      </c>
      <c r="AF164">
        <v>2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0</v>
      </c>
      <c r="AN164">
        <v>0</v>
      </c>
      <c r="AO164">
        <v>0</v>
      </c>
      <c r="AP164">
        <v>3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41</v>
      </c>
      <c r="BP164">
        <v>35</v>
      </c>
      <c r="BQ164">
        <v>1</v>
      </c>
      <c r="BR164">
        <v>2</v>
      </c>
      <c r="BS164">
        <v>1</v>
      </c>
      <c r="BT164">
        <v>0</v>
      </c>
      <c r="BU164">
        <v>1</v>
      </c>
      <c r="BV164">
        <v>0</v>
      </c>
      <c r="BW164">
        <v>1</v>
      </c>
      <c r="BX164">
        <v>0</v>
      </c>
      <c r="BY164">
        <v>0</v>
      </c>
      <c r="BZ164">
        <v>41</v>
      </c>
      <c r="CA164">
        <v>1</v>
      </c>
      <c r="CB164">
        <v>1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1</v>
      </c>
      <c r="CM164">
        <v>1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1</v>
      </c>
      <c r="CY164">
        <v>15</v>
      </c>
      <c r="CZ164">
        <v>11</v>
      </c>
      <c r="DA164">
        <v>1</v>
      </c>
      <c r="DB164">
        <v>0</v>
      </c>
      <c r="DC164">
        <v>0</v>
      </c>
      <c r="DD164">
        <v>2</v>
      </c>
      <c r="DE164">
        <v>0</v>
      </c>
      <c r="DF164">
        <v>0</v>
      </c>
      <c r="DG164">
        <v>0</v>
      </c>
      <c r="DH164">
        <v>1</v>
      </c>
      <c r="DI164">
        <v>0</v>
      </c>
      <c r="DJ164">
        <v>15</v>
      </c>
      <c r="DK164">
        <v>3</v>
      </c>
      <c r="DL164">
        <v>3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3</v>
      </c>
      <c r="DW164">
        <v>84</v>
      </c>
      <c r="DX164">
        <v>2</v>
      </c>
      <c r="DY164">
        <v>2</v>
      </c>
      <c r="DZ164">
        <v>0</v>
      </c>
      <c r="EA164">
        <v>70</v>
      </c>
      <c r="EB164">
        <v>0</v>
      </c>
      <c r="EC164">
        <v>1</v>
      </c>
      <c r="ED164">
        <v>0</v>
      </c>
      <c r="EE164">
        <v>8</v>
      </c>
      <c r="EF164">
        <v>1</v>
      </c>
      <c r="EG164">
        <v>0</v>
      </c>
      <c r="EH164">
        <v>84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</row>
    <row r="165" spans="1:172" ht="14.25">
      <c r="A165">
        <v>160</v>
      </c>
      <c r="B165" t="str">
        <f>"100504"</f>
        <v>100504</v>
      </c>
      <c r="C165" t="str">
        <f>"Domaniewice"</f>
        <v>Domaniewice</v>
      </c>
      <c r="D165" t="str">
        <f t="shared" si="31"/>
        <v>Łowicki</v>
      </c>
      <c r="E165" t="str">
        <f t="shared" si="28"/>
        <v>łódzkie</v>
      </c>
      <c r="F165">
        <v>1</v>
      </c>
      <c r="G165" t="str">
        <f>"Gminny Ośrodek Kultury, ul. Główna 3, 99-434 Domaniewice"</f>
        <v>Gminny Ośrodek Kultury, ul. Główna 3, 99-434 Domaniewice</v>
      </c>
      <c r="H165">
        <v>1499</v>
      </c>
      <c r="I165">
        <v>1499</v>
      </c>
      <c r="J165">
        <v>0</v>
      </c>
      <c r="K165">
        <v>1050</v>
      </c>
      <c r="L165">
        <v>747</v>
      </c>
      <c r="M165">
        <v>303</v>
      </c>
      <c r="N165">
        <v>303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303</v>
      </c>
      <c r="Z165">
        <v>0</v>
      </c>
      <c r="AA165">
        <v>0</v>
      </c>
      <c r="AB165">
        <v>303</v>
      </c>
      <c r="AC165">
        <v>17</v>
      </c>
      <c r="AD165">
        <v>286</v>
      </c>
      <c r="AE165">
        <v>6</v>
      </c>
      <c r="AF165">
        <v>1</v>
      </c>
      <c r="AG165">
        <v>0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3</v>
      </c>
      <c r="AP165">
        <v>6</v>
      </c>
      <c r="AQ165">
        <v>8</v>
      </c>
      <c r="AR165">
        <v>7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1</v>
      </c>
      <c r="BB165">
        <v>8</v>
      </c>
      <c r="BC165">
        <v>8</v>
      </c>
      <c r="BD165">
        <v>4</v>
      </c>
      <c r="BE165">
        <v>2</v>
      </c>
      <c r="BF165">
        <v>0</v>
      </c>
      <c r="BG165">
        <v>0</v>
      </c>
      <c r="BH165">
        <v>1</v>
      </c>
      <c r="BI165">
        <v>1</v>
      </c>
      <c r="BJ165">
        <v>0</v>
      </c>
      <c r="BK165">
        <v>0</v>
      </c>
      <c r="BL165">
        <v>0</v>
      </c>
      <c r="BM165">
        <v>0</v>
      </c>
      <c r="BN165">
        <v>8</v>
      </c>
      <c r="BO165">
        <v>126</v>
      </c>
      <c r="BP165">
        <v>110</v>
      </c>
      <c r="BQ165">
        <v>2</v>
      </c>
      <c r="BR165">
        <v>3</v>
      </c>
      <c r="BS165">
        <v>1</v>
      </c>
      <c r="BT165">
        <v>1</v>
      </c>
      <c r="BU165">
        <v>5</v>
      </c>
      <c r="BV165">
        <v>0</v>
      </c>
      <c r="BW165">
        <v>0</v>
      </c>
      <c r="BX165">
        <v>0</v>
      </c>
      <c r="BY165">
        <v>4</v>
      </c>
      <c r="BZ165">
        <v>126</v>
      </c>
      <c r="CA165">
        <v>6</v>
      </c>
      <c r="CB165">
        <v>0</v>
      </c>
      <c r="CC165">
        <v>2</v>
      </c>
      <c r="CD165">
        <v>0</v>
      </c>
      <c r="CE165">
        <v>2</v>
      </c>
      <c r="CF165">
        <v>0</v>
      </c>
      <c r="CG165">
        <v>0</v>
      </c>
      <c r="CH165">
        <v>0</v>
      </c>
      <c r="CI165">
        <v>1</v>
      </c>
      <c r="CJ165">
        <v>0</v>
      </c>
      <c r="CK165">
        <v>1</v>
      </c>
      <c r="CL165">
        <v>6</v>
      </c>
      <c r="CM165">
        <v>17</v>
      </c>
      <c r="CN165">
        <v>4</v>
      </c>
      <c r="CO165">
        <v>0</v>
      </c>
      <c r="CP165">
        <v>0</v>
      </c>
      <c r="CQ165">
        <v>11</v>
      </c>
      <c r="CR165">
        <v>0</v>
      </c>
      <c r="CS165">
        <v>0</v>
      </c>
      <c r="CT165">
        <v>0</v>
      </c>
      <c r="CU165">
        <v>0</v>
      </c>
      <c r="CV165">
        <v>2</v>
      </c>
      <c r="CW165">
        <v>0</v>
      </c>
      <c r="CX165">
        <v>17</v>
      </c>
      <c r="CY165">
        <v>18</v>
      </c>
      <c r="CZ165">
        <v>14</v>
      </c>
      <c r="DA165">
        <v>2</v>
      </c>
      <c r="DB165">
        <v>0</v>
      </c>
      <c r="DC165">
        <v>1</v>
      </c>
      <c r="DD165">
        <v>0</v>
      </c>
      <c r="DE165">
        <v>0</v>
      </c>
      <c r="DF165">
        <v>1</v>
      </c>
      <c r="DG165">
        <v>0</v>
      </c>
      <c r="DH165">
        <v>0</v>
      </c>
      <c r="DI165">
        <v>0</v>
      </c>
      <c r="DJ165">
        <v>18</v>
      </c>
      <c r="DK165">
        <v>37</v>
      </c>
      <c r="DL165">
        <v>23</v>
      </c>
      <c r="DM165">
        <v>11</v>
      </c>
      <c r="DN165">
        <v>0</v>
      </c>
      <c r="DO165">
        <v>0</v>
      </c>
      <c r="DP165">
        <v>1</v>
      </c>
      <c r="DQ165">
        <v>0</v>
      </c>
      <c r="DR165">
        <v>0</v>
      </c>
      <c r="DS165">
        <v>1</v>
      </c>
      <c r="DT165">
        <v>0</v>
      </c>
      <c r="DU165">
        <v>1</v>
      </c>
      <c r="DV165">
        <v>37</v>
      </c>
      <c r="DW165">
        <v>55</v>
      </c>
      <c r="DX165">
        <v>1</v>
      </c>
      <c r="DY165">
        <v>4</v>
      </c>
      <c r="DZ165">
        <v>0</v>
      </c>
      <c r="EA165">
        <v>39</v>
      </c>
      <c r="EB165">
        <v>1</v>
      </c>
      <c r="EC165">
        <v>0</v>
      </c>
      <c r="ED165">
        <v>3</v>
      </c>
      <c r="EE165">
        <v>1</v>
      </c>
      <c r="EF165">
        <v>5</v>
      </c>
      <c r="EG165">
        <v>1</v>
      </c>
      <c r="EH165">
        <v>55</v>
      </c>
      <c r="EI165">
        <v>2</v>
      </c>
      <c r="EJ165">
        <v>0</v>
      </c>
      <c r="EK165">
        <v>2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2</v>
      </c>
      <c r="ES165">
        <v>2</v>
      </c>
      <c r="ET165">
        <v>0</v>
      </c>
      <c r="EU165">
        <v>0</v>
      </c>
      <c r="EV165">
        <v>0</v>
      </c>
      <c r="EW165">
        <v>1</v>
      </c>
      <c r="EX165">
        <v>0</v>
      </c>
      <c r="EY165">
        <v>0</v>
      </c>
      <c r="EZ165">
        <v>0</v>
      </c>
      <c r="FA165">
        <v>0</v>
      </c>
      <c r="FB165">
        <v>1</v>
      </c>
      <c r="FC165">
        <v>0</v>
      </c>
      <c r="FD165">
        <v>2</v>
      </c>
      <c r="FE165">
        <v>1</v>
      </c>
      <c r="FF165">
        <v>1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1</v>
      </c>
    </row>
    <row r="166" spans="1:172" ht="14.25">
      <c r="A166">
        <v>161</v>
      </c>
      <c r="B166" t="str">
        <f>"100504"</f>
        <v>100504</v>
      </c>
      <c r="C166" t="str">
        <f>"Domaniewice"</f>
        <v>Domaniewice</v>
      </c>
      <c r="D166" t="str">
        <f t="shared" si="31"/>
        <v>Łowicki</v>
      </c>
      <c r="E166" t="str">
        <f t="shared" si="28"/>
        <v>łódzkie</v>
      </c>
      <c r="F166">
        <v>2</v>
      </c>
      <c r="G166" t="str">
        <f>"Budynek po byłej Szkole Podstawowej, Krępa 96a, 99-434 Domaniewice"</f>
        <v>Budynek po byłej Szkole Podstawowej, Krępa 96a, 99-434 Domaniewice</v>
      </c>
      <c r="H166">
        <v>1292</v>
      </c>
      <c r="I166">
        <v>1292</v>
      </c>
      <c r="J166">
        <v>0</v>
      </c>
      <c r="K166">
        <v>910</v>
      </c>
      <c r="L166">
        <v>735</v>
      </c>
      <c r="M166">
        <v>175</v>
      </c>
      <c r="N166">
        <v>175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175</v>
      </c>
      <c r="Z166">
        <v>0</v>
      </c>
      <c r="AA166">
        <v>0</v>
      </c>
      <c r="AB166">
        <v>175</v>
      </c>
      <c r="AC166">
        <v>4</v>
      </c>
      <c r="AD166">
        <v>171</v>
      </c>
      <c r="AE166">
        <v>5</v>
      </c>
      <c r="AF166">
        <v>1</v>
      </c>
      <c r="AG166">
        <v>2</v>
      </c>
      <c r="AH166">
        <v>0</v>
      </c>
      <c r="AI166">
        <v>0</v>
      </c>
      <c r="AJ166">
        <v>0</v>
      </c>
      <c r="AK166">
        <v>1</v>
      </c>
      <c r="AL166">
        <v>0</v>
      </c>
      <c r="AM166">
        <v>1</v>
      </c>
      <c r="AN166">
        <v>0</v>
      </c>
      <c r="AO166">
        <v>0</v>
      </c>
      <c r="AP166">
        <v>5</v>
      </c>
      <c r="AQ166">
        <v>2</v>
      </c>
      <c r="AR166">
        <v>2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2</v>
      </c>
      <c r="BC166">
        <v>5</v>
      </c>
      <c r="BD166">
        <v>0</v>
      </c>
      <c r="BE166">
        <v>2</v>
      </c>
      <c r="BF166">
        <v>0</v>
      </c>
      <c r="BG166">
        <v>0</v>
      </c>
      <c r="BH166">
        <v>2</v>
      </c>
      <c r="BI166">
        <v>0</v>
      </c>
      <c r="BJ166">
        <v>0</v>
      </c>
      <c r="BK166">
        <v>0</v>
      </c>
      <c r="BL166">
        <v>1</v>
      </c>
      <c r="BM166">
        <v>0</v>
      </c>
      <c r="BN166">
        <v>5</v>
      </c>
      <c r="BO166">
        <v>82</v>
      </c>
      <c r="BP166">
        <v>48</v>
      </c>
      <c r="BQ166">
        <v>5</v>
      </c>
      <c r="BR166">
        <v>5</v>
      </c>
      <c r="BS166">
        <v>4</v>
      </c>
      <c r="BT166">
        <v>0</v>
      </c>
      <c r="BU166">
        <v>2</v>
      </c>
      <c r="BV166">
        <v>0</v>
      </c>
      <c r="BW166">
        <v>0</v>
      </c>
      <c r="BX166">
        <v>1</v>
      </c>
      <c r="BY166">
        <v>17</v>
      </c>
      <c r="BZ166">
        <v>82</v>
      </c>
      <c r="CA166">
        <v>3</v>
      </c>
      <c r="CB166">
        <v>0</v>
      </c>
      <c r="CC166">
        <v>0</v>
      </c>
      <c r="CD166">
        <v>0</v>
      </c>
      <c r="CE166">
        <v>1</v>
      </c>
      <c r="CF166">
        <v>0</v>
      </c>
      <c r="CG166">
        <v>0</v>
      </c>
      <c r="CH166">
        <v>0</v>
      </c>
      <c r="CI166">
        <v>1</v>
      </c>
      <c r="CJ166">
        <v>1</v>
      </c>
      <c r="CK166">
        <v>0</v>
      </c>
      <c r="CL166">
        <v>3</v>
      </c>
      <c r="CM166">
        <v>7</v>
      </c>
      <c r="CN166">
        <v>1</v>
      </c>
      <c r="CO166">
        <v>0</v>
      </c>
      <c r="CP166">
        <v>0</v>
      </c>
      <c r="CQ166">
        <v>6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7</v>
      </c>
      <c r="CY166">
        <v>12</v>
      </c>
      <c r="CZ166">
        <v>5</v>
      </c>
      <c r="DA166">
        <v>3</v>
      </c>
      <c r="DB166">
        <v>0</v>
      </c>
      <c r="DC166">
        <v>0</v>
      </c>
      <c r="DD166">
        <v>1</v>
      </c>
      <c r="DE166">
        <v>0</v>
      </c>
      <c r="DF166">
        <v>1</v>
      </c>
      <c r="DG166">
        <v>1</v>
      </c>
      <c r="DH166">
        <v>0</v>
      </c>
      <c r="DI166">
        <v>1</v>
      </c>
      <c r="DJ166">
        <v>12</v>
      </c>
      <c r="DK166">
        <v>21</v>
      </c>
      <c r="DL166">
        <v>9</v>
      </c>
      <c r="DM166">
        <v>10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1</v>
      </c>
      <c r="DU166">
        <v>1</v>
      </c>
      <c r="DV166">
        <v>21</v>
      </c>
      <c r="DW166">
        <v>32</v>
      </c>
      <c r="DX166">
        <v>4</v>
      </c>
      <c r="DY166">
        <v>0</v>
      </c>
      <c r="DZ166">
        <v>0</v>
      </c>
      <c r="EA166">
        <v>20</v>
      </c>
      <c r="EB166">
        <v>0</v>
      </c>
      <c r="EC166">
        <v>0</v>
      </c>
      <c r="ED166">
        <v>1</v>
      </c>
      <c r="EE166">
        <v>0</v>
      </c>
      <c r="EF166">
        <v>6</v>
      </c>
      <c r="EG166">
        <v>1</v>
      </c>
      <c r="EH166">
        <v>32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1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1</v>
      </c>
      <c r="FD166">
        <v>1</v>
      </c>
      <c r="FE166">
        <v>1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1</v>
      </c>
      <c r="FN166">
        <v>0</v>
      </c>
      <c r="FO166">
        <v>0</v>
      </c>
      <c r="FP166">
        <v>1</v>
      </c>
    </row>
    <row r="167" spans="1:172" ht="14.25">
      <c r="A167">
        <v>162</v>
      </c>
      <c r="B167" t="str">
        <f>"100504"</f>
        <v>100504</v>
      </c>
      <c r="C167" t="str">
        <f>"Domaniewice"</f>
        <v>Domaniewice</v>
      </c>
      <c r="D167" t="str">
        <f t="shared" si="31"/>
        <v>Łowicki</v>
      </c>
      <c r="E167" t="str">
        <f t="shared" si="28"/>
        <v>łódzkie</v>
      </c>
      <c r="F167">
        <v>3</v>
      </c>
      <c r="G167" t="str">
        <f>"Szkoła Podstawowa, Skaratki 44a, 99-434 Domaniewice"</f>
        <v>Szkoła Podstawowa, Skaratki 44a, 99-434 Domaniewice</v>
      </c>
      <c r="H167">
        <v>969</v>
      </c>
      <c r="I167">
        <v>969</v>
      </c>
      <c r="J167">
        <v>0</v>
      </c>
      <c r="K167">
        <v>680</v>
      </c>
      <c r="L167">
        <v>523</v>
      </c>
      <c r="M167">
        <v>157</v>
      </c>
      <c r="N167">
        <v>157</v>
      </c>
      <c r="O167">
        <v>0</v>
      </c>
      <c r="P167">
        <v>0</v>
      </c>
      <c r="Q167">
        <v>3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157</v>
      </c>
      <c r="Z167">
        <v>0</v>
      </c>
      <c r="AA167">
        <v>0</v>
      </c>
      <c r="AB167">
        <v>157</v>
      </c>
      <c r="AC167">
        <v>6</v>
      </c>
      <c r="AD167">
        <v>151</v>
      </c>
      <c r="AE167">
        <v>1</v>
      </c>
      <c r="AF167">
        <v>1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1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9</v>
      </c>
      <c r="BD167">
        <v>6</v>
      </c>
      <c r="BE167">
        <v>0</v>
      </c>
      <c r="BF167">
        <v>0</v>
      </c>
      <c r="BG167">
        <v>0</v>
      </c>
      <c r="BH167">
        <v>2</v>
      </c>
      <c r="BI167">
        <v>0</v>
      </c>
      <c r="BJ167">
        <v>0</v>
      </c>
      <c r="BK167">
        <v>0</v>
      </c>
      <c r="BL167">
        <v>1</v>
      </c>
      <c r="BM167">
        <v>0</v>
      </c>
      <c r="BN167">
        <v>9</v>
      </c>
      <c r="BO167">
        <v>65</v>
      </c>
      <c r="BP167">
        <v>59</v>
      </c>
      <c r="BQ167">
        <v>1</v>
      </c>
      <c r="BR167">
        <v>1</v>
      </c>
      <c r="BS167">
        <v>0</v>
      </c>
      <c r="BT167">
        <v>0</v>
      </c>
      <c r="BU167">
        <v>1</v>
      </c>
      <c r="BV167">
        <v>0</v>
      </c>
      <c r="BW167">
        <v>1</v>
      </c>
      <c r="BX167">
        <v>0</v>
      </c>
      <c r="BY167">
        <v>2</v>
      </c>
      <c r="BZ167">
        <v>65</v>
      </c>
      <c r="CA167">
        <v>2</v>
      </c>
      <c r="CB167">
        <v>2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2</v>
      </c>
      <c r="CM167">
        <v>2</v>
      </c>
      <c r="CN167">
        <v>0</v>
      </c>
      <c r="CO167">
        <v>0</v>
      </c>
      <c r="CP167">
        <v>0</v>
      </c>
      <c r="CQ167">
        <v>2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2</v>
      </c>
      <c r="CY167">
        <v>13</v>
      </c>
      <c r="CZ167">
        <v>7</v>
      </c>
      <c r="DA167">
        <v>1</v>
      </c>
      <c r="DB167">
        <v>2</v>
      </c>
      <c r="DC167">
        <v>0</v>
      </c>
      <c r="DD167">
        <v>0</v>
      </c>
      <c r="DE167">
        <v>1</v>
      </c>
      <c r="DF167">
        <v>0</v>
      </c>
      <c r="DG167">
        <v>1</v>
      </c>
      <c r="DH167">
        <v>0</v>
      </c>
      <c r="DI167">
        <v>1</v>
      </c>
      <c r="DJ167">
        <v>13</v>
      </c>
      <c r="DK167">
        <v>10</v>
      </c>
      <c r="DL167">
        <v>4</v>
      </c>
      <c r="DM167">
        <v>4</v>
      </c>
      <c r="DN167">
        <v>1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1</v>
      </c>
      <c r="DV167">
        <v>10</v>
      </c>
      <c r="DW167">
        <v>49</v>
      </c>
      <c r="DX167">
        <v>0</v>
      </c>
      <c r="DY167">
        <v>1</v>
      </c>
      <c r="DZ167">
        <v>0</v>
      </c>
      <c r="EA167">
        <v>27</v>
      </c>
      <c r="EB167">
        <v>0</v>
      </c>
      <c r="EC167">
        <v>3</v>
      </c>
      <c r="ED167">
        <v>3</v>
      </c>
      <c r="EE167">
        <v>2</v>
      </c>
      <c r="EF167">
        <v>13</v>
      </c>
      <c r="EG167">
        <v>0</v>
      </c>
      <c r="EH167">
        <v>49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</row>
    <row r="168" spans="1:172" ht="14.25">
      <c r="A168">
        <v>163</v>
      </c>
      <c r="B168" t="str">
        <f>"100505"</f>
        <v>100505</v>
      </c>
      <c r="C168" t="str">
        <f>"Kiernozia"</f>
        <v>Kiernozia</v>
      </c>
      <c r="D168" t="str">
        <f t="shared" si="31"/>
        <v>Łowicki</v>
      </c>
      <c r="E168" t="str">
        <f t="shared" si="28"/>
        <v>łódzkie</v>
      </c>
      <c r="F168">
        <v>1</v>
      </c>
      <c r="G168" t="str">
        <f>"Gminny Ośrodek Kultury, ul. Sobocka 1a, 99-412 Kiernozia"</f>
        <v>Gminny Ośrodek Kultury, ul. Sobocka 1a, 99-412 Kiernozia</v>
      </c>
      <c r="H168">
        <v>1623</v>
      </c>
      <c r="I168">
        <v>1623</v>
      </c>
      <c r="J168">
        <v>0</v>
      </c>
      <c r="K168">
        <v>1140</v>
      </c>
      <c r="L168">
        <v>840</v>
      </c>
      <c r="M168">
        <v>300</v>
      </c>
      <c r="N168">
        <v>300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300</v>
      </c>
      <c r="Z168">
        <v>0</v>
      </c>
      <c r="AA168">
        <v>0</v>
      </c>
      <c r="AB168">
        <v>300</v>
      </c>
      <c r="AC168">
        <v>12</v>
      </c>
      <c r="AD168">
        <v>288</v>
      </c>
      <c r="AE168">
        <v>11</v>
      </c>
      <c r="AF168">
        <v>6</v>
      </c>
      <c r="AG168">
        <v>2</v>
      </c>
      <c r="AH168">
        <v>0</v>
      </c>
      <c r="AI168">
        <v>0</v>
      </c>
      <c r="AJ168">
        <v>0</v>
      </c>
      <c r="AK168">
        <v>0</v>
      </c>
      <c r="AL168">
        <v>1</v>
      </c>
      <c r="AM168">
        <v>0</v>
      </c>
      <c r="AN168">
        <v>2</v>
      </c>
      <c r="AO168">
        <v>0</v>
      </c>
      <c r="AP168">
        <v>11</v>
      </c>
      <c r="AQ168">
        <v>1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1</v>
      </c>
      <c r="BA168">
        <v>0</v>
      </c>
      <c r="BB168">
        <v>1</v>
      </c>
      <c r="BC168">
        <v>10</v>
      </c>
      <c r="BD168">
        <v>4</v>
      </c>
      <c r="BE168">
        <v>1</v>
      </c>
      <c r="BF168">
        <v>0</v>
      </c>
      <c r="BG168">
        <v>1</v>
      </c>
      <c r="BH168">
        <v>0</v>
      </c>
      <c r="BI168">
        <v>0</v>
      </c>
      <c r="BJ168">
        <v>0</v>
      </c>
      <c r="BK168">
        <v>0</v>
      </c>
      <c r="BL168">
        <v>1</v>
      </c>
      <c r="BM168">
        <v>3</v>
      </c>
      <c r="BN168">
        <v>10</v>
      </c>
      <c r="BO168">
        <v>107</v>
      </c>
      <c r="BP168">
        <v>100</v>
      </c>
      <c r="BQ168">
        <v>0</v>
      </c>
      <c r="BR168">
        <v>0</v>
      </c>
      <c r="BS168">
        <v>4</v>
      </c>
      <c r="BT168">
        <v>0</v>
      </c>
      <c r="BU168">
        <v>1</v>
      </c>
      <c r="BV168">
        <v>1</v>
      </c>
      <c r="BW168">
        <v>1</v>
      </c>
      <c r="BX168">
        <v>0</v>
      </c>
      <c r="BY168">
        <v>0</v>
      </c>
      <c r="BZ168">
        <v>107</v>
      </c>
      <c r="CA168">
        <v>2</v>
      </c>
      <c r="CB168">
        <v>1</v>
      </c>
      <c r="CC168">
        <v>1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2</v>
      </c>
      <c r="CM168">
        <v>13</v>
      </c>
      <c r="CN168">
        <v>9</v>
      </c>
      <c r="CO168">
        <v>2</v>
      </c>
      <c r="CP168">
        <v>0</v>
      </c>
      <c r="CQ168">
        <v>1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1</v>
      </c>
      <c r="CX168">
        <v>13</v>
      </c>
      <c r="CY168">
        <v>24</v>
      </c>
      <c r="CZ168">
        <v>14</v>
      </c>
      <c r="DA168">
        <v>2</v>
      </c>
      <c r="DB168">
        <v>0</v>
      </c>
      <c r="DC168">
        <v>1</v>
      </c>
      <c r="DD168">
        <v>1</v>
      </c>
      <c r="DE168">
        <v>0</v>
      </c>
      <c r="DF168">
        <v>1</v>
      </c>
      <c r="DG168">
        <v>0</v>
      </c>
      <c r="DH168">
        <v>1</v>
      </c>
      <c r="DI168">
        <v>4</v>
      </c>
      <c r="DJ168">
        <v>24</v>
      </c>
      <c r="DK168">
        <v>25</v>
      </c>
      <c r="DL168">
        <v>18</v>
      </c>
      <c r="DM168">
        <v>5</v>
      </c>
      <c r="DN168">
        <v>2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25</v>
      </c>
      <c r="DW168">
        <v>88</v>
      </c>
      <c r="DX168">
        <v>3</v>
      </c>
      <c r="DY168">
        <v>9</v>
      </c>
      <c r="DZ168">
        <v>0</v>
      </c>
      <c r="EA168">
        <v>65</v>
      </c>
      <c r="EB168">
        <v>0</v>
      </c>
      <c r="EC168">
        <v>7</v>
      </c>
      <c r="ED168">
        <v>0</v>
      </c>
      <c r="EE168">
        <v>2</v>
      </c>
      <c r="EF168">
        <v>0</v>
      </c>
      <c r="EG168">
        <v>2</v>
      </c>
      <c r="EH168">
        <v>88</v>
      </c>
      <c r="EI168">
        <v>7</v>
      </c>
      <c r="EJ168">
        <v>0</v>
      </c>
      <c r="EK168">
        <v>7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7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</row>
    <row r="169" spans="1:172" ht="14.25">
      <c r="A169">
        <v>164</v>
      </c>
      <c r="B169" t="str">
        <f>"100505"</f>
        <v>100505</v>
      </c>
      <c r="C169" t="str">
        <f>"Kiernozia"</f>
        <v>Kiernozia</v>
      </c>
      <c r="D169" t="str">
        <f t="shared" si="31"/>
        <v>Łowicki</v>
      </c>
      <c r="E169" t="str">
        <f t="shared" si="28"/>
        <v>łódzkie</v>
      </c>
      <c r="F169">
        <v>2</v>
      </c>
      <c r="G169" t="str">
        <f>"Budynek byłej Szkoły Podstawowej, Brodne-Józefów 13, 99-412 Kiernozia"</f>
        <v>Budynek byłej Szkoły Podstawowej, Brodne-Józefów 13, 99-412 Kiernozia</v>
      </c>
      <c r="H169">
        <v>711</v>
      </c>
      <c r="I169">
        <v>711</v>
      </c>
      <c r="J169">
        <v>0</v>
      </c>
      <c r="K169">
        <v>499</v>
      </c>
      <c r="L169">
        <v>379</v>
      </c>
      <c r="M169">
        <v>120</v>
      </c>
      <c r="N169">
        <v>120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120</v>
      </c>
      <c r="Z169">
        <v>0</v>
      </c>
      <c r="AA169">
        <v>0</v>
      </c>
      <c r="AB169">
        <v>120</v>
      </c>
      <c r="AC169">
        <v>4</v>
      </c>
      <c r="AD169">
        <v>116</v>
      </c>
      <c r="AE169">
        <v>4</v>
      </c>
      <c r="AF169">
        <v>3</v>
      </c>
      <c r="AG169">
        <v>0</v>
      </c>
      <c r="AH169">
        <v>1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4</v>
      </c>
      <c r="AQ169">
        <v>4</v>
      </c>
      <c r="AR169">
        <v>0</v>
      </c>
      <c r="AS169">
        <v>0</v>
      </c>
      <c r="AT169">
        <v>0</v>
      </c>
      <c r="AU169">
        <v>1</v>
      </c>
      <c r="AV169">
        <v>1</v>
      </c>
      <c r="AW169">
        <v>0</v>
      </c>
      <c r="AX169">
        <v>0</v>
      </c>
      <c r="AY169">
        <v>0</v>
      </c>
      <c r="AZ169">
        <v>1</v>
      </c>
      <c r="BA169">
        <v>1</v>
      </c>
      <c r="BB169">
        <v>4</v>
      </c>
      <c r="BC169">
        <v>2</v>
      </c>
      <c r="BD169">
        <v>1</v>
      </c>
      <c r="BE169">
        <v>1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2</v>
      </c>
      <c r="BO169">
        <v>68</v>
      </c>
      <c r="BP169">
        <v>61</v>
      </c>
      <c r="BQ169">
        <v>2</v>
      </c>
      <c r="BR169">
        <v>1</v>
      </c>
      <c r="BS169">
        <v>0</v>
      </c>
      <c r="BT169">
        <v>1</v>
      </c>
      <c r="BU169">
        <v>0</v>
      </c>
      <c r="BV169">
        <v>0</v>
      </c>
      <c r="BW169">
        <v>0</v>
      </c>
      <c r="BX169">
        <v>0</v>
      </c>
      <c r="BY169">
        <v>3</v>
      </c>
      <c r="BZ169">
        <v>68</v>
      </c>
      <c r="CA169">
        <v>2</v>
      </c>
      <c r="CB169">
        <v>1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1</v>
      </c>
      <c r="CK169">
        <v>0</v>
      </c>
      <c r="CL169">
        <v>2</v>
      </c>
      <c r="CM169">
        <v>1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1</v>
      </c>
      <c r="CY169">
        <v>5</v>
      </c>
      <c r="CZ169">
        <v>4</v>
      </c>
      <c r="DA169">
        <v>0</v>
      </c>
      <c r="DB169">
        <v>0</v>
      </c>
      <c r="DC169">
        <v>0</v>
      </c>
      <c r="DD169">
        <v>1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5</v>
      </c>
      <c r="DK169">
        <v>6</v>
      </c>
      <c r="DL169">
        <v>5</v>
      </c>
      <c r="DM169">
        <v>1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6</v>
      </c>
      <c r="DW169">
        <v>23</v>
      </c>
      <c r="DX169">
        <v>4</v>
      </c>
      <c r="DY169">
        <v>0</v>
      </c>
      <c r="DZ169">
        <v>0</v>
      </c>
      <c r="EA169">
        <v>14</v>
      </c>
      <c r="EB169">
        <v>0</v>
      </c>
      <c r="EC169">
        <v>4</v>
      </c>
      <c r="ED169">
        <v>0</v>
      </c>
      <c r="EE169">
        <v>0</v>
      </c>
      <c r="EF169">
        <v>1</v>
      </c>
      <c r="EG169">
        <v>0</v>
      </c>
      <c r="EH169">
        <v>23</v>
      </c>
      <c r="EI169">
        <v>1</v>
      </c>
      <c r="EJ169">
        <v>0</v>
      </c>
      <c r="EK169">
        <v>1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1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</row>
    <row r="170" spans="1:172" ht="14.25">
      <c r="A170">
        <v>165</v>
      </c>
      <c r="B170" t="str">
        <f>"100505"</f>
        <v>100505</v>
      </c>
      <c r="C170" t="str">
        <f>"Kiernozia"</f>
        <v>Kiernozia</v>
      </c>
      <c r="D170" t="str">
        <f t="shared" si="31"/>
        <v>Łowicki</v>
      </c>
      <c r="E170" t="str">
        <f t="shared" si="28"/>
        <v>łódzkie</v>
      </c>
      <c r="F170">
        <v>3</v>
      </c>
      <c r="G170" t="str">
        <f>"Świetlica Wiejska, Wola Stępowska 56, 99-412 Kiernozia"</f>
        <v>Świetlica Wiejska, Wola Stępowska 56, 99-412 Kiernozia</v>
      </c>
      <c r="H170">
        <v>565</v>
      </c>
      <c r="I170">
        <v>565</v>
      </c>
      <c r="J170">
        <v>0</v>
      </c>
      <c r="K170">
        <v>400</v>
      </c>
      <c r="L170">
        <v>321</v>
      </c>
      <c r="M170">
        <v>79</v>
      </c>
      <c r="N170">
        <v>79</v>
      </c>
      <c r="O170">
        <v>0</v>
      </c>
      <c r="P170">
        <v>1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79</v>
      </c>
      <c r="Z170">
        <v>0</v>
      </c>
      <c r="AA170">
        <v>0</v>
      </c>
      <c r="AB170">
        <v>79</v>
      </c>
      <c r="AC170">
        <v>0</v>
      </c>
      <c r="AD170">
        <v>79</v>
      </c>
      <c r="AE170">
        <v>2</v>
      </c>
      <c r="AF170">
        <v>1</v>
      </c>
      <c r="AG170">
        <v>0</v>
      </c>
      <c r="AH170">
        <v>0</v>
      </c>
      <c r="AI170">
        <v>0</v>
      </c>
      <c r="AJ170">
        <v>0</v>
      </c>
      <c r="AK170">
        <v>1</v>
      </c>
      <c r="AL170">
        <v>0</v>
      </c>
      <c r="AM170">
        <v>0</v>
      </c>
      <c r="AN170">
        <v>0</v>
      </c>
      <c r="AO170">
        <v>0</v>
      </c>
      <c r="AP170">
        <v>2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6</v>
      </c>
      <c r="BD170">
        <v>1</v>
      </c>
      <c r="BE170">
        <v>3</v>
      </c>
      <c r="BF170">
        <v>0</v>
      </c>
      <c r="BG170">
        <v>0</v>
      </c>
      <c r="BH170">
        <v>0</v>
      </c>
      <c r="BI170">
        <v>1</v>
      </c>
      <c r="BJ170">
        <v>0</v>
      </c>
      <c r="BK170">
        <v>0</v>
      </c>
      <c r="BL170">
        <v>1</v>
      </c>
      <c r="BM170">
        <v>0</v>
      </c>
      <c r="BN170">
        <v>6</v>
      </c>
      <c r="BO170">
        <v>35</v>
      </c>
      <c r="BP170">
        <v>28</v>
      </c>
      <c r="BQ170">
        <v>0</v>
      </c>
      <c r="BR170">
        <v>3</v>
      </c>
      <c r="BS170">
        <v>2</v>
      </c>
      <c r="BT170">
        <v>0</v>
      </c>
      <c r="BU170">
        <v>1</v>
      </c>
      <c r="BV170">
        <v>0</v>
      </c>
      <c r="BW170">
        <v>0</v>
      </c>
      <c r="BX170">
        <v>1</v>
      </c>
      <c r="BY170">
        <v>0</v>
      </c>
      <c r="BZ170">
        <v>35</v>
      </c>
      <c r="CA170">
        <v>1</v>
      </c>
      <c r="CB170">
        <v>1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1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4</v>
      </c>
      <c r="CZ170">
        <v>1</v>
      </c>
      <c r="DA170">
        <v>1</v>
      </c>
      <c r="DB170">
        <v>1</v>
      </c>
      <c r="DC170">
        <v>0</v>
      </c>
      <c r="DD170">
        <v>1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4</v>
      </c>
      <c r="DK170">
        <v>7</v>
      </c>
      <c r="DL170">
        <v>4</v>
      </c>
      <c r="DM170">
        <v>2</v>
      </c>
      <c r="DN170">
        <v>0</v>
      </c>
      <c r="DO170">
        <v>1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7</v>
      </c>
      <c r="DW170">
        <v>24</v>
      </c>
      <c r="DX170">
        <v>2</v>
      </c>
      <c r="DY170">
        <v>1</v>
      </c>
      <c r="DZ170">
        <v>0</v>
      </c>
      <c r="EA170">
        <v>21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24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</row>
    <row r="171" spans="1:172" ht="14.25">
      <c r="A171">
        <v>166</v>
      </c>
      <c r="B171" t="str">
        <f>"100506"</f>
        <v>100506</v>
      </c>
      <c r="C171" t="str">
        <f>"Kocierzew Południowy"</f>
        <v>Kocierzew Południowy</v>
      </c>
      <c r="D171" t="str">
        <f t="shared" si="31"/>
        <v>Łowicki</v>
      </c>
      <c r="E171" t="str">
        <f t="shared" si="28"/>
        <v>łódzkie</v>
      </c>
      <c r="F171">
        <v>1</v>
      </c>
      <c r="G171" t="str">
        <f>"Szkoła Podstawowa, Kocierzew Południowy 103, 99-414 Kocierzew"</f>
        <v>Szkoła Podstawowa, Kocierzew Południowy 103, 99-414 Kocierzew</v>
      </c>
      <c r="H171">
        <v>1919</v>
      </c>
      <c r="I171">
        <v>1919</v>
      </c>
      <c r="J171">
        <v>0</v>
      </c>
      <c r="K171">
        <v>1350</v>
      </c>
      <c r="L171">
        <v>930</v>
      </c>
      <c r="M171">
        <v>420</v>
      </c>
      <c r="N171">
        <v>420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420</v>
      </c>
      <c r="Z171">
        <v>0</v>
      </c>
      <c r="AA171">
        <v>0</v>
      </c>
      <c r="AB171">
        <v>420</v>
      </c>
      <c r="AC171">
        <v>4</v>
      </c>
      <c r="AD171">
        <v>416</v>
      </c>
      <c r="AE171">
        <v>10</v>
      </c>
      <c r="AF171">
        <v>8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0</v>
      </c>
      <c r="AO171">
        <v>1</v>
      </c>
      <c r="AP171">
        <v>10</v>
      </c>
      <c r="AQ171">
        <v>2</v>
      </c>
      <c r="AR171">
        <v>0</v>
      </c>
      <c r="AS171">
        <v>0</v>
      </c>
      <c r="AT171">
        <v>1</v>
      </c>
      <c r="AU171">
        <v>0</v>
      </c>
      <c r="AV171">
        <v>0</v>
      </c>
      <c r="AW171">
        <v>0</v>
      </c>
      <c r="AX171">
        <v>0</v>
      </c>
      <c r="AY171">
        <v>1</v>
      </c>
      <c r="AZ171">
        <v>0</v>
      </c>
      <c r="BA171">
        <v>0</v>
      </c>
      <c r="BB171">
        <v>2</v>
      </c>
      <c r="BC171">
        <v>9</v>
      </c>
      <c r="BD171">
        <v>5</v>
      </c>
      <c r="BE171">
        <v>2</v>
      </c>
      <c r="BF171">
        <v>0</v>
      </c>
      <c r="BG171">
        <v>1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1</v>
      </c>
      <c r="BN171">
        <v>9</v>
      </c>
      <c r="BO171">
        <v>214</v>
      </c>
      <c r="BP171">
        <v>196</v>
      </c>
      <c r="BQ171">
        <v>4</v>
      </c>
      <c r="BR171">
        <v>0</v>
      </c>
      <c r="BS171">
        <v>3</v>
      </c>
      <c r="BT171">
        <v>0</v>
      </c>
      <c r="BU171">
        <v>6</v>
      </c>
      <c r="BV171">
        <v>0</v>
      </c>
      <c r="BW171">
        <v>1</v>
      </c>
      <c r="BX171">
        <v>3</v>
      </c>
      <c r="BY171">
        <v>1</v>
      </c>
      <c r="BZ171">
        <v>214</v>
      </c>
      <c r="CA171">
        <v>1</v>
      </c>
      <c r="CB171">
        <v>1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1</v>
      </c>
      <c r="CM171">
        <v>7</v>
      </c>
      <c r="CN171">
        <v>2</v>
      </c>
      <c r="CO171">
        <v>1</v>
      </c>
      <c r="CP171">
        <v>1</v>
      </c>
      <c r="CQ171">
        <v>3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7</v>
      </c>
      <c r="CY171">
        <v>38</v>
      </c>
      <c r="CZ171">
        <v>26</v>
      </c>
      <c r="DA171">
        <v>2</v>
      </c>
      <c r="DB171">
        <v>4</v>
      </c>
      <c r="DC171">
        <v>1</v>
      </c>
      <c r="DD171">
        <v>0</v>
      </c>
      <c r="DE171">
        <v>3</v>
      </c>
      <c r="DF171">
        <v>0</v>
      </c>
      <c r="DG171">
        <v>0</v>
      </c>
      <c r="DH171">
        <v>1</v>
      </c>
      <c r="DI171">
        <v>1</v>
      </c>
      <c r="DJ171">
        <v>38</v>
      </c>
      <c r="DK171">
        <v>12</v>
      </c>
      <c r="DL171">
        <v>8</v>
      </c>
      <c r="DM171">
        <v>2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2</v>
      </c>
      <c r="DV171">
        <v>12</v>
      </c>
      <c r="DW171">
        <v>119</v>
      </c>
      <c r="DX171">
        <v>17</v>
      </c>
      <c r="DY171">
        <v>4</v>
      </c>
      <c r="DZ171">
        <v>0</v>
      </c>
      <c r="EA171">
        <v>87</v>
      </c>
      <c r="EB171">
        <v>3</v>
      </c>
      <c r="EC171">
        <v>1</v>
      </c>
      <c r="ED171">
        <v>2</v>
      </c>
      <c r="EE171">
        <v>3</v>
      </c>
      <c r="EF171">
        <v>1</v>
      </c>
      <c r="EG171">
        <v>1</v>
      </c>
      <c r="EH171">
        <v>119</v>
      </c>
      <c r="EI171">
        <v>3</v>
      </c>
      <c r="EJ171">
        <v>0</v>
      </c>
      <c r="EK171">
        <v>2</v>
      </c>
      <c r="EL171">
        <v>0</v>
      </c>
      <c r="EM171">
        <v>0</v>
      </c>
      <c r="EN171">
        <v>0</v>
      </c>
      <c r="EO171">
        <v>0</v>
      </c>
      <c r="EP171">
        <v>1</v>
      </c>
      <c r="EQ171">
        <v>0</v>
      </c>
      <c r="ER171">
        <v>3</v>
      </c>
      <c r="ES171">
        <v>1</v>
      </c>
      <c r="ET171">
        <v>0</v>
      </c>
      <c r="EU171">
        <v>0</v>
      </c>
      <c r="EV171">
        <v>0</v>
      </c>
      <c r="EW171">
        <v>0</v>
      </c>
      <c r="EX171">
        <v>1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1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</row>
    <row r="172" spans="1:172" ht="14.25">
      <c r="A172">
        <v>167</v>
      </c>
      <c r="B172" t="str">
        <f>"100506"</f>
        <v>100506</v>
      </c>
      <c r="C172" t="str">
        <f>"Kocierzew Południowy"</f>
        <v>Kocierzew Południowy</v>
      </c>
      <c r="D172" t="str">
        <f t="shared" si="31"/>
        <v>Łowicki</v>
      </c>
      <c r="E172" t="str">
        <f t="shared" si="28"/>
        <v>łódzkie</v>
      </c>
      <c r="F172">
        <v>2</v>
      </c>
      <c r="G172" t="str">
        <f>"Szkoła Podstawowa, Gągolin Południowy 82, 99-414 Kocierzew"</f>
        <v>Szkoła Podstawowa, Gągolin Południowy 82, 99-414 Kocierzew</v>
      </c>
      <c r="H172">
        <v>644</v>
      </c>
      <c r="I172">
        <v>644</v>
      </c>
      <c r="J172">
        <v>0</v>
      </c>
      <c r="K172">
        <v>450</v>
      </c>
      <c r="L172">
        <v>334</v>
      </c>
      <c r="M172">
        <v>116</v>
      </c>
      <c r="N172">
        <v>116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116</v>
      </c>
      <c r="Z172">
        <v>0</v>
      </c>
      <c r="AA172">
        <v>0</v>
      </c>
      <c r="AB172">
        <v>116</v>
      </c>
      <c r="AC172">
        <v>3</v>
      </c>
      <c r="AD172">
        <v>113</v>
      </c>
      <c r="AE172">
        <v>5</v>
      </c>
      <c r="AF172">
        <v>1</v>
      </c>
      <c r="AG172">
        <v>1</v>
      </c>
      <c r="AH172">
        <v>1</v>
      </c>
      <c r="AI172">
        <v>0</v>
      </c>
      <c r="AJ172">
        <v>0</v>
      </c>
      <c r="AK172">
        <v>0</v>
      </c>
      <c r="AL172">
        <v>2</v>
      </c>
      <c r="AM172">
        <v>0</v>
      </c>
      <c r="AN172">
        <v>0</v>
      </c>
      <c r="AO172">
        <v>0</v>
      </c>
      <c r="AP172">
        <v>5</v>
      </c>
      <c r="AQ172">
        <v>5</v>
      </c>
      <c r="AR172">
        <v>4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1</v>
      </c>
      <c r="BA172">
        <v>0</v>
      </c>
      <c r="BB172">
        <v>5</v>
      </c>
      <c r="BC172">
        <v>2</v>
      </c>
      <c r="BD172">
        <v>1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1</v>
      </c>
      <c r="BN172">
        <v>2</v>
      </c>
      <c r="BO172">
        <v>64</v>
      </c>
      <c r="BP172">
        <v>60</v>
      </c>
      <c r="BQ172">
        <v>1</v>
      </c>
      <c r="BR172">
        <v>0</v>
      </c>
      <c r="BS172">
        <v>2</v>
      </c>
      <c r="BT172">
        <v>0</v>
      </c>
      <c r="BU172">
        <v>1</v>
      </c>
      <c r="BV172">
        <v>0</v>
      </c>
      <c r="BW172">
        <v>0</v>
      </c>
      <c r="BX172">
        <v>0</v>
      </c>
      <c r="BY172">
        <v>0</v>
      </c>
      <c r="BZ172">
        <v>64</v>
      </c>
      <c r="CA172">
        <v>2</v>
      </c>
      <c r="CB172">
        <v>0</v>
      </c>
      <c r="CC172">
        <v>1</v>
      </c>
      <c r="CD172">
        <v>1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2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10</v>
      </c>
      <c r="CZ172">
        <v>9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1</v>
      </c>
      <c r="DG172">
        <v>0</v>
      </c>
      <c r="DH172">
        <v>0</v>
      </c>
      <c r="DI172">
        <v>0</v>
      </c>
      <c r="DJ172">
        <v>10</v>
      </c>
      <c r="DK172">
        <v>4</v>
      </c>
      <c r="DL172">
        <v>1</v>
      </c>
      <c r="DM172">
        <v>1</v>
      </c>
      <c r="DN172">
        <v>0</v>
      </c>
      <c r="DO172">
        <v>1</v>
      </c>
      <c r="DP172">
        <v>0</v>
      </c>
      <c r="DQ172">
        <v>0</v>
      </c>
      <c r="DR172">
        <v>1</v>
      </c>
      <c r="DS172">
        <v>0</v>
      </c>
      <c r="DT172">
        <v>0</v>
      </c>
      <c r="DU172">
        <v>0</v>
      </c>
      <c r="DV172">
        <v>4</v>
      </c>
      <c r="DW172">
        <v>20</v>
      </c>
      <c r="DX172">
        <v>0</v>
      </c>
      <c r="DY172">
        <v>2</v>
      </c>
      <c r="DZ172">
        <v>0</v>
      </c>
      <c r="EA172">
        <v>17</v>
      </c>
      <c r="EB172">
        <v>0</v>
      </c>
      <c r="EC172">
        <v>1</v>
      </c>
      <c r="ED172">
        <v>0</v>
      </c>
      <c r="EE172">
        <v>0</v>
      </c>
      <c r="EF172">
        <v>0</v>
      </c>
      <c r="EG172">
        <v>0</v>
      </c>
      <c r="EH172">
        <v>20</v>
      </c>
      <c r="EI172">
        <v>1</v>
      </c>
      <c r="EJ172">
        <v>0</v>
      </c>
      <c r="EK172">
        <v>1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1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</row>
    <row r="173" spans="1:172" ht="14.25">
      <c r="A173">
        <v>168</v>
      </c>
      <c r="B173" t="str">
        <f>"100506"</f>
        <v>100506</v>
      </c>
      <c r="C173" t="str">
        <f>"Kocierzew Południowy"</f>
        <v>Kocierzew Południowy</v>
      </c>
      <c r="D173" t="str">
        <f t="shared" si="31"/>
        <v>Łowicki</v>
      </c>
      <c r="E173" t="str">
        <f t="shared" si="28"/>
        <v>łódzkie</v>
      </c>
      <c r="F173">
        <v>3</v>
      </c>
      <c r="G173" t="str">
        <f>"Filia w Boczkach Gminnej Biblioteki Publicznej w Kocierzewie Południowym, Boczki 84, 99-414 Kocierzew"</f>
        <v>Filia w Boczkach Gminnej Biblioteki Publicznej w Kocierzewie Południowym, Boczki 84, 99-414 Kocierzew</v>
      </c>
      <c r="H173">
        <v>1007</v>
      </c>
      <c r="I173">
        <v>1007</v>
      </c>
      <c r="J173">
        <v>0</v>
      </c>
      <c r="K173">
        <v>710</v>
      </c>
      <c r="L173">
        <v>401</v>
      </c>
      <c r="M173">
        <v>309</v>
      </c>
      <c r="N173">
        <v>309</v>
      </c>
      <c r="O173">
        <v>0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309</v>
      </c>
      <c r="Z173">
        <v>0</v>
      </c>
      <c r="AA173">
        <v>0</v>
      </c>
      <c r="AB173">
        <v>309</v>
      </c>
      <c r="AC173">
        <v>8</v>
      </c>
      <c r="AD173">
        <v>301</v>
      </c>
      <c r="AE173">
        <v>11</v>
      </c>
      <c r="AF173">
        <v>5</v>
      </c>
      <c r="AG173">
        <v>1</v>
      </c>
      <c r="AH173">
        <v>3</v>
      </c>
      <c r="AI173">
        <v>0</v>
      </c>
      <c r="AJ173">
        <v>0</v>
      </c>
      <c r="AK173">
        <v>0</v>
      </c>
      <c r="AL173">
        <v>2</v>
      </c>
      <c r="AM173">
        <v>0</v>
      </c>
      <c r="AN173">
        <v>0</v>
      </c>
      <c r="AO173">
        <v>0</v>
      </c>
      <c r="AP173">
        <v>11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6</v>
      </c>
      <c r="BD173">
        <v>5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1</v>
      </c>
      <c r="BL173">
        <v>0</v>
      </c>
      <c r="BM173">
        <v>0</v>
      </c>
      <c r="BN173">
        <v>6</v>
      </c>
      <c r="BO173">
        <v>198</v>
      </c>
      <c r="BP173">
        <v>187</v>
      </c>
      <c r="BQ173">
        <v>3</v>
      </c>
      <c r="BR173">
        <v>0</v>
      </c>
      <c r="BS173">
        <v>2</v>
      </c>
      <c r="BT173">
        <v>1</v>
      </c>
      <c r="BU173">
        <v>5</v>
      </c>
      <c r="BV173">
        <v>0</v>
      </c>
      <c r="BW173">
        <v>0</v>
      </c>
      <c r="BX173">
        <v>0</v>
      </c>
      <c r="BY173">
        <v>0</v>
      </c>
      <c r="BZ173">
        <v>198</v>
      </c>
      <c r="CA173">
        <v>6</v>
      </c>
      <c r="CB173">
        <v>1</v>
      </c>
      <c r="CC173">
        <v>2</v>
      </c>
      <c r="CD173">
        <v>1</v>
      </c>
      <c r="CE173">
        <v>0</v>
      </c>
      <c r="CF173">
        <v>0</v>
      </c>
      <c r="CG173">
        <v>1</v>
      </c>
      <c r="CH173">
        <v>1</v>
      </c>
      <c r="CI173">
        <v>0</v>
      </c>
      <c r="CJ173">
        <v>0</v>
      </c>
      <c r="CK173">
        <v>0</v>
      </c>
      <c r="CL173">
        <v>6</v>
      </c>
      <c r="CM173">
        <v>6</v>
      </c>
      <c r="CN173">
        <v>2</v>
      </c>
      <c r="CO173">
        <v>0</v>
      </c>
      <c r="CP173">
        <v>0</v>
      </c>
      <c r="CQ173">
        <v>4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6</v>
      </c>
      <c r="CY173">
        <v>16</v>
      </c>
      <c r="CZ173">
        <v>11</v>
      </c>
      <c r="DA173">
        <v>2</v>
      </c>
      <c r="DB173">
        <v>1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2</v>
      </c>
      <c r="DI173">
        <v>0</v>
      </c>
      <c r="DJ173">
        <v>16</v>
      </c>
      <c r="DK173">
        <v>9</v>
      </c>
      <c r="DL173">
        <v>7</v>
      </c>
      <c r="DM173">
        <v>1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1</v>
      </c>
      <c r="DU173">
        <v>0</v>
      </c>
      <c r="DV173">
        <v>9</v>
      </c>
      <c r="DW173">
        <v>49</v>
      </c>
      <c r="DX173">
        <v>2</v>
      </c>
      <c r="DY173">
        <v>4</v>
      </c>
      <c r="DZ173">
        <v>0</v>
      </c>
      <c r="EA173">
        <v>41</v>
      </c>
      <c r="EB173">
        <v>1</v>
      </c>
      <c r="EC173">
        <v>0</v>
      </c>
      <c r="ED173">
        <v>0</v>
      </c>
      <c r="EE173">
        <v>0</v>
      </c>
      <c r="EF173">
        <v>1</v>
      </c>
      <c r="EG173">
        <v>0</v>
      </c>
      <c r="EH173">
        <v>49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</row>
    <row r="174" spans="1:172" ht="14.25">
      <c r="A174">
        <v>169</v>
      </c>
      <c r="B174" t="str">
        <f aca="true" t="shared" si="32" ref="B174:B181">"100507"</f>
        <v>100507</v>
      </c>
      <c r="C174" t="str">
        <f aca="true" t="shared" si="33" ref="C174:C181">"Łowicz"</f>
        <v>Łowicz</v>
      </c>
      <c r="D174" t="str">
        <f t="shared" si="31"/>
        <v>Łowicki</v>
      </c>
      <c r="E174" t="str">
        <f t="shared" si="28"/>
        <v>łódzkie</v>
      </c>
      <c r="F174">
        <v>1</v>
      </c>
      <c r="G174" t="str">
        <f>"Szkoła Podstawowa, ul. Poznańska 4, Popów, 99-400 Łowicz"</f>
        <v>Szkoła Podstawowa, ul. Poznańska 4, Popów, 99-400 Łowicz</v>
      </c>
      <c r="H174">
        <v>1082</v>
      </c>
      <c r="I174">
        <v>1082</v>
      </c>
      <c r="J174">
        <v>0</v>
      </c>
      <c r="K174">
        <v>760</v>
      </c>
      <c r="L174">
        <v>546</v>
      </c>
      <c r="M174">
        <v>214</v>
      </c>
      <c r="N174">
        <v>214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214</v>
      </c>
      <c r="Z174">
        <v>0</v>
      </c>
      <c r="AA174">
        <v>0</v>
      </c>
      <c r="AB174">
        <v>214</v>
      </c>
      <c r="AC174">
        <v>6</v>
      </c>
      <c r="AD174">
        <v>208</v>
      </c>
      <c r="AE174">
        <v>5</v>
      </c>
      <c r="AF174">
        <v>1</v>
      </c>
      <c r="AG174">
        <v>1</v>
      </c>
      <c r="AH174">
        <v>0</v>
      </c>
      <c r="AI174">
        <v>1</v>
      </c>
      <c r="AJ174">
        <v>0</v>
      </c>
      <c r="AK174">
        <v>0</v>
      </c>
      <c r="AL174">
        <v>2</v>
      </c>
      <c r="AM174">
        <v>0</v>
      </c>
      <c r="AN174">
        <v>0</v>
      </c>
      <c r="AO174">
        <v>0</v>
      </c>
      <c r="AP174">
        <v>5</v>
      </c>
      <c r="AQ174">
        <v>4</v>
      </c>
      <c r="AR174">
        <v>1</v>
      </c>
      <c r="AS174">
        <v>2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1</v>
      </c>
      <c r="BA174">
        <v>0</v>
      </c>
      <c r="BB174">
        <v>4</v>
      </c>
      <c r="BC174">
        <v>8</v>
      </c>
      <c r="BD174">
        <v>6</v>
      </c>
      <c r="BE174">
        <v>2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8</v>
      </c>
      <c r="BO174">
        <v>111</v>
      </c>
      <c r="BP174">
        <v>94</v>
      </c>
      <c r="BQ174">
        <v>2</v>
      </c>
      <c r="BR174">
        <v>3</v>
      </c>
      <c r="BS174">
        <v>6</v>
      </c>
      <c r="BT174">
        <v>0</v>
      </c>
      <c r="BU174">
        <v>3</v>
      </c>
      <c r="BV174">
        <v>0</v>
      </c>
      <c r="BW174">
        <v>1</v>
      </c>
      <c r="BX174">
        <v>1</v>
      </c>
      <c r="BY174">
        <v>1</v>
      </c>
      <c r="BZ174">
        <v>111</v>
      </c>
      <c r="CA174">
        <v>1</v>
      </c>
      <c r="CB174">
        <v>0</v>
      </c>
      <c r="CC174">
        <v>0</v>
      </c>
      <c r="CD174">
        <v>1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1</v>
      </c>
      <c r="CM174">
        <v>6</v>
      </c>
      <c r="CN174">
        <v>2</v>
      </c>
      <c r="CO174">
        <v>1</v>
      </c>
      <c r="CP174">
        <v>0</v>
      </c>
      <c r="CQ174">
        <v>3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6</v>
      </c>
      <c r="CY174">
        <v>17</v>
      </c>
      <c r="CZ174">
        <v>11</v>
      </c>
      <c r="DA174">
        <v>1</v>
      </c>
      <c r="DB174">
        <v>0</v>
      </c>
      <c r="DC174">
        <v>1</v>
      </c>
      <c r="DD174">
        <v>0</v>
      </c>
      <c r="DE174">
        <v>0</v>
      </c>
      <c r="DF174">
        <v>0</v>
      </c>
      <c r="DG174">
        <v>1</v>
      </c>
      <c r="DH174">
        <v>3</v>
      </c>
      <c r="DI174">
        <v>0</v>
      </c>
      <c r="DJ174">
        <v>17</v>
      </c>
      <c r="DK174">
        <v>22</v>
      </c>
      <c r="DL174">
        <v>15</v>
      </c>
      <c r="DM174">
        <v>5</v>
      </c>
      <c r="DN174">
        <v>1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1</v>
      </c>
      <c r="DV174">
        <v>22</v>
      </c>
      <c r="DW174">
        <v>32</v>
      </c>
      <c r="DX174">
        <v>4</v>
      </c>
      <c r="DY174">
        <v>2</v>
      </c>
      <c r="DZ174">
        <v>0</v>
      </c>
      <c r="EA174">
        <v>24</v>
      </c>
      <c r="EB174">
        <v>0</v>
      </c>
      <c r="EC174">
        <v>0</v>
      </c>
      <c r="ED174">
        <v>0</v>
      </c>
      <c r="EE174">
        <v>1</v>
      </c>
      <c r="EF174">
        <v>1</v>
      </c>
      <c r="EG174">
        <v>0</v>
      </c>
      <c r="EH174">
        <v>32</v>
      </c>
      <c r="EI174">
        <v>1</v>
      </c>
      <c r="EJ174">
        <v>0</v>
      </c>
      <c r="EK174">
        <v>1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1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1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1</v>
      </c>
      <c r="FO174">
        <v>0</v>
      </c>
      <c r="FP174">
        <v>1</v>
      </c>
    </row>
    <row r="175" spans="1:172" ht="14.25">
      <c r="A175">
        <v>170</v>
      </c>
      <c r="B175" t="str">
        <f t="shared" si="32"/>
        <v>100507</v>
      </c>
      <c r="C175" t="str">
        <f t="shared" si="33"/>
        <v>Łowicz</v>
      </c>
      <c r="D175" t="str">
        <f t="shared" si="31"/>
        <v>Łowicki</v>
      </c>
      <c r="E175" t="str">
        <f t="shared" si="28"/>
        <v>łódzkie</v>
      </c>
      <c r="F175">
        <v>2</v>
      </c>
      <c r="G175" t="str">
        <f>"Szkoła Podstawowa, Zielkowice 145, 99-400 Łowicz"</f>
        <v>Szkoła Podstawowa, Zielkowice 145, 99-400 Łowicz</v>
      </c>
      <c r="H175">
        <v>906</v>
      </c>
      <c r="I175">
        <v>906</v>
      </c>
      <c r="J175">
        <v>0</v>
      </c>
      <c r="K175">
        <v>641</v>
      </c>
      <c r="L175">
        <v>483</v>
      </c>
      <c r="M175">
        <v>158</v>
      </c>
      <c r="N175">
        <v>158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158</v>
      </c>
      <c r="Z175">
        <v>0</v>
      </c>
      <c r="AA175">
        <v>0</v>
      </c>
      <c r="AB175">
        <v>158</v>
      </c>
      <c r="AC175">
        <v>7</v>
      </c>
      <c r="AD175">
        <v>151</v>
      </c>
      <c r="AE175">
        <v>5</v>
      </c>
      <c r="AF175">
        <v>2</v>
      </c>
      <c r="AG175">
        <v>0</v>
      </c>
      <c r="AH175">
        <v>2</v>
      </c>
      <c r="AI175">
        <v>1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5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10</v>
      </c>
      <c r="BD175">
        <v>6</v>
      </c>
      <c r="BE175">
        <v>1</v>
      </c>
      <c r="BF175">
        <v>2</v>
      </c>
      <c r="BG175">
        <v>0</v>
      </c>
      <c r="BH175">
        <v>0</v>
      </c>
      <c r="BI175">
        <v>0</v>
      </c>
      <c r="BJ175">
        <v>0</v>
      </c>
      <c r="BK175">
        <v>1</v>
      </c>
      <c r="BL175">
        <v>0</v>
      </c>
      <c r="BM175">
        <v>0</v>
      </c>
      <c r="BN175">
        <v>10</v>
      </c>
      <c r="BO175">
        <v>70</v>
      </c>
      <c r="BP175">
        <v>59</v>
      </c>
      <c r="BQ175">
        <v>1</v>
      </c>
      <c r="BR175">
        <v>0</v>
      </c>
      <c r="BS175">
        <v>2</v>
      </c>
      <c r="BT175">
        <v>0</v>
      </c>
      <c r="BU175">
        <v>3</v>
      </c>
      <c r="BV175">
        <v>0</v>
      </c>
      <c r="BW175">
        <v>1</v>
      </c>
      <c r="BX175">
        <v>2</v>
      </c>
      <c r="BY175">
        <v>2</v>
      </c>
      <c r="BZ175">
        <v>70</v>
      </c>
      <c r="CA175">
        <v>4</v>
      </c>
      <c r="CB175">
        <v>3</v>
      </c>
      <c r="CC175">
        <v>1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4</v>
      </c>
      <c r="CM175">
        <v>1</v>
      </c>
      <c r="CN175">
        <v>0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15</v>
      </c>
      <c r="CZ175">
        <v>13</v>
      </c>
      <c r="DA175">
        <v>1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1</v>
      </c>
      <c r="DJ175">
        <v>15</v>
      </c>
      <c r="DK175">
        <v>26</v>
      </c>
      <c r="DL175">
        <v>20</v>
      </c>
      <c r="DM175">
        <v>2</v>
      </c>
      <c r="DN175">
        <v>2</v>
      </c>
      <c r="DO175">
        <v>1</v>
      </c>
      <c r="DP175">
        <v>0</v>
      </c>
      <c r="DQ175">
        <v>0</v>
      </c>
      <c r="DR175">
        <v>0</v>
      </c>
      <c r="DS175">
        <v>0</v>
      </c>
      <c r="DT175">
        <v>1</v>
      </c>
      <c r="DU175">
        <v>0</v>
      </c>
      <c r="DV175">
        <v>26</v>
      </c>
      <c r="DW175">
        <v>16</v>
      </c>
      <c r="DX175">
        <v>0</v>
      </c>
      <c r="DY175">
        <v>2</v>
      </c>
      <c r="DZ175">
        <v>0</v>
      </c>
      <c r="EA175">
        <v>12</v>
      </c>
      <c r="EB175">
        <v>0</v>
      </c>
      <c r="EC175">
        <v>0</v>
      </c>
      <c r="ED175">
        <v>0</v>
      </c>
      <c r="EE175">
        <v>1</v>
      </c>
      <c r="EF175">
        <v>1</v>
      </c>
      <c r="EG175">
        <v>0</v>
      </c>
      <c r="EH175">
        <v>16</v>
      </c>
      <c r="EI175">
        <v>2</v>
      </c>
      <c r="EJ175">
        <v>0</v>
      </c>
      <c r="EK175">
        <v>2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2</v>
      </c>
      <c r="ES175">
        <v>2</v>
      </c>
      <c r="ET175">
        <v>2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2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</row>
    <row r="176" spans="1:172" ht="14.25">
      <c r="A176">
        <v>171</v>
      </c>
      <c r="B176" t="str">
        <f t="shared" si="32"/>
        <v>100507</v>
      </c>
      <c r="C176" t="str">
        <f t="shared" si="33"/>
        <v>Łowicz</v>
      </c>
      <c r="D176" t="str">
        <f t="shared" si="31"/>
        <v>Łowicki</v>
      </c>
      <c r="E176" t="str">
        <f t="shared" si="28"/>
        <v>łódzkie</v>
      </c>
      <c r="F176">
        <v>3</v>
      </c>
      <c r="G176" t="str">
        <f>"Szkoła Podstawowa, Jamno 112, 99-400 Łowicz"</f>
        <v>Szkoła Podstawowa, Jamno 112, 99-400 Łowicz</v>
      </c>
      <c r="H176">
        <v>365</v>
      </c>
      <c r="I176">
        <v>365</v>
      </c>
      <c r="J176">
        <v>0</v>
      </c>
      <c r="K176">
        <v>260</v>
      </c>
      <c r="L176">
        <v>190</v>
      </c>
      <c r="M176">
        <v>70</v>
      </c>
      <c r="N176">
        <v>70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70</v>
      </c>
      <c r="Z176">
        <v>0</v>
      </c>
      <c r="AA176">
        <v>0</v>
      </c>
      <c r="AB176">
        <v>70</v>
      </c>
      <c r="AC176">
        <v>3</v>
      </c>
      <c r="AD176">
        <v>67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2</v>
      </c>
      <c r="BD176">
        <v>1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1</v>
      </c>
      <c r="BN176">
        <v>2</v>
      </c>
      <c r="BO176">
        <v>28</v>
      </c>
      <c r="BP176">
        <v>18</v>
      </c>
      <c r="BQ176">
        <v>0</v>
      </c>
      <c r="BR176">
        <v>0</v>
      </c>
      <c r="BS176">
        <v>0</v>
      </c>
      <c r="BT176">
        <v>0</v>
      </c>
      <c r="BU176">
        <v>5</v>
      </c>
      <c r="BV176">
        <v>0</v>
      </c>
      <c r="BW176">
        <v>0</v>
      </c>
      <c r="BX176">
        <v>1</v>
      </c>
      <c r="BY176">
        <v>4</v>
      </c>
      <c r="BZ176">
        <v>28</v>
      </c>
      <c r="CA176">
        <v>4</v>
      </c>
      <c r="CB176">
        <v>0</v>
      </c>
      <c r="CC176">
        <v>0</v>
      </c>
      <c r="CD176">
        <v>0</v>
      </c>
      <c r="CE176">
        <v>1</v>
      </c>
      <c r="CF176">
        <v>0</v>
      </c>
      <c r="CG176">
        <v>0</v>
      </c>
      <c r="CH176">
        <v>1</v>
      </c>
      <c r="CI176">
        <v>1</v>
      </c>
      <c r="CJ176">
        <v>0</v>
      </c>
      <c r="CK176">
        <v>1</v>
      </c>
      <c r="CL176">
        <v>4</v>
      </c>
      <c r="CM176">
        <v>1</v>
      </c>
      <c r="CN176">
        <v>0</v>
      </c>
      <c r="CO176">
        <v>0</v>
      </c>
      <c r="CP176">
        <v>0</v>
      </c>
      <c r="CQ176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1</v>
      </c>
      <c r="CY176">
        <v>8</v>
      </c>
      <c r="CZ176">
        <v>6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1</v>
      </c>
      <c r="DH176">
        <v>1</v>
      </c>
      <c r="DI176">
        <v>0</v>
      </c>
      <c r="DJ176">
        <v>8</v>
      </c>
      <c r="DK176">
        <v>5</v>
      </c>
      <c r="DL176">
        <v>3</v>
      </c>
      <c r="DM176">
        <v>1</v>
      </c>
      <c r="DN176">
        <v>1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5</v>
      </c>
      <c r="DW176">
        <v>18</v>
      </c>
      <c r="DX176">
        <v>0</v>
      </c>
      <c r="DY176">
        <v>0</v>
      </c>
      <c r="DZ176">
        <v>0</v>
      </c>
      <c r="EA176">
        <v>15</v>
      </c>
      <c r="EB176">
        <v>1</v>
      </c>
      <c r="EC176">
        <v>0</v>
      </c>
      <c r="ED176">
        <v>1</v>
      </c>
      <c r="EE176">
        <v>1</v>
      </c>
      <c r="EF176">
        <v>0</v>
      </c>
      <c r="EG176">
        <v>0</v>
      </c>
      <c r="EH176">
        <v>18</v>
      </c>
      <c r="EI176">
        <v>1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1</v>
      </c>
      <c r="EQ176">
        <v>0</v>
      </c>
      <c r="ER176">
        <v>1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</row>
    <row r="177" spans="1:172" ht="14.25">
      <c r="A177">
        <v>172</v>
      </c>
      <c r="B177" t="str">
        <f t="shared" si="32"/>
        <v>100507</v>
      </c>
      <c r="C177" t="str">
        <f t="shared" si="33"/>
        <v>Łowicz</v>
      </c>
      <c r="D177" t="str">
        <f t="shared" si="31"/>
        <v>Łowicki</v>
      </c>
      <c r="E177" t="str">
        <f t="shared" si="28"/>
        <v>łódzkie</v>
      </c>
      <c r="F177">
        <v>4</v>
      </c>
      <c r="G177" t="str">
        <f>"Gminna Biblioteka Publiczna, Bocheń 57a, 99-400 Łowicz"</f>
        <v>Gminna Biblioteka Publiczna, Bocheń 57a, 99-400 Łowicz</v>
      </c>
      <c r="H177">
        <v>889</v>
      </c>
      <c r="I177">
        <v>889</v>
      </c>
      <c r="J177">
        <v>0</v>
      </c>
      <c r="K177">
        <v>620</v>
      </c>
      <c r="L177">
        <v>409</v>
      </c>
      <c r="M177">
        <v>211</v>
      </c>
      <c r="N177">
        <v>211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211</v>
      </c>
      <c r="Z177">
        <v>0</v>
      </c>
      <c r="AA177">
        <v>0</v>
      </c>
      <c r="AB177">
        <v>211</v>
      </c>
      <c r="AC177">
        <v>6</v>
      </c>
      <c r="AD177">
        <v>205</v>
      </c>
      <c r="AE177">
        <v>5</v>
      </c>
      <c r="AF177">
        <v>3</v>
      </c>
      <c r="AG177">
        <v>1</v>
      </c>
      <c r="AH177">
        <v>0</v>
      </c>
      <c r="AI177">
        <v>0</v>
      </c>
      <c r="AJ177">
        <v>0</v>
      </c>
      <c r="AK177">
        <v>0</v>
      </c>
      <c r="AL177">
        <v>1</v>
      </c>
      <c r="AM177">
        <v>0</v>
      </c>
      <c r="AN177">
        <v>0</v>
      </c>
      <c r="AO177">
        <v>0</v>
      </c>
      <c r="AP177">
        <v>5</v>
      </c>
      <c r="AQ177">
        <v>2</v>
      </c>
      <c r="AR177">
        <v>1</v>
      </c>
      <c r="AS177">
        <v>0</v>
      </c>
      <c r="AT177">
        <v>0</v>
      </c>
      <c r="AU177">
        <v>0</v>
      </c>
      <c r="AV177">
        <v>1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2</v>
      </c>
      <c r="BC177">
        <v>10</v>
      </c>
      <c r="BD177">
        <v>8</v>
      </c>
      <c r="BE177">
        <v>1</v>
      </c>
      <c r="BF177">
        <v>0</v>
      </c>
      <c r="BG177">
        <v>0</v>
      </c>
      <c r="BH177">
        <v>0</v>
      </c>
      <c r="BI177">
        <v>0</v>
      </c>
      <c r="BJ177">
        <v>1</v>
      </c>
      <c r="BK177">
        <v>0</v>
      </c>
      <c r="BL177">
        <v>0</v>
      </c>
      <c r="BM177">
        <v>0</v>
      </c>
      <c r="BN177">
        <v>10</v>
      </c>
      <c r="BO177">
        <v>89</v>
      </c>
      <c r="BP177">
        <v>74</v>
      </c>
      <c r="BQ177">
        <v>5</v>
      </c>
      <c r="BR177">
        <v>1</v>
      </c>
      <c r="BS177">
        <v>2</v>
      </c>
      <c r="BT177">
        <v>0</v>
      </c>
      <c r="BU177">
        <v>5</v>
      </c>
      <c r="BV177">
        <v>0</v>
      </c>
      <c r="BW177">
        <v>0</v>
      </c>
      <c r="BX177">
        <v>1</v>
      </c>
      <c r="BY177">
        <v>1</v>
      </c>
      <c r="BZ177">
        <v>89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11</v>
      </c>
      <c r="CN177">
        <v>1</v>
      </c>
      <c r="CO177">
        <v>1</v>
      </c>
      <c r="CP177">
        <v>2</v>
      </c>
      <c r="CQ177">
        <v>7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11</v>
      </c>
      <c r="CY177">
        <v>25</v>
      </c>
      <c r="CZ177">
        <v>20</v>
      </c>
      <c r="DA177">
        <v>0</v>
      </c>
      <c r="DB177">
        <v>5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25</v>
      </c>
      <c r="DK177">
        <v>19</v>
      </c>
      <c r="DL177">
        <v>13</v>
      </c>
      <c r="DM177">
        <v>1</v>
      </c>
      <c r="DN177">
        <v>3</v>
      </c>
      <c r="DO177">
        <v>1</v>
      </c>
      <c r="DP177">
        <v>0</v>
      </c>
      <c r="DQ177">
        <v>1</v>
      </c>
      <c r="DR177">
        <v>0</v>
      </c>
      <c r="DS177">
        <v>0</v>
      </c>
      <c r="DT177">
        <v>0</v>
      </c>
      <c r="DU177">
        <v>0</v>
      </c>
      <c r="DV177">
        <v>19</v>
      </c>
      <c r="DW177">
        <v>43</v>
      </c>
      <c r="DX177">
        <v>2</v>
      </c>
      <c r="DY177">
        <v>2</v>
      </c>
      <c r="DZ177">
        <v>0</v>
      </c>
      <c r="EA177">
        <v>36</v>
      </c>
      <c r="EB177">
        <v>0</v>
      </c>
      <c r="EC177">
        <v>2</v>
      </c>
      <c r="ED177">
        <v>0</v>
      </c>
      <c r="EE177">
        <v>0</v>
      </c>
      <c r="EF177">
        <v>1</v>
      </c>
      <c r="EG177">
        <v>0</v>
      </c>
      <c r="EH177">
        <v>43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1</v>
      </c>
      <c r="FF177">
        <v>1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1</v>
      </c>
    </row>
    <row r="178" spans="1:172" ht="14.25">
      <c r="A178">
        <v>173</v>
      </c>
      <c r="B178" t="str">
        <f t="shared" si="32"/>
        <v>100507</v>
      </c>
      <c r="C178" t="str">
        <f t="shared" si="33"/>
        <v>Łowicz</v>
      </c>
      <c r="D178" t="str">
        <f t="shared" si="31"/>
        <v>Łowicki</v>
      </c>
      <c r="E178" t="str">
        <f t="shared" si="28"/>
        <v>łódzkie</v>
      </c>
      <c r="F178">
        <v>5</v>
      </c>
      <c r="G178" t="str">
        <f>"Izba Pamięci ZNP, Pilaszków 24, 99-400 Łowicz"</f>
        <v>Izba Pamięci ZNP, Pilaszków 24, 99-400 Łowicz</v>
      </c>
      <c r="H178">
        <v>952</v>
      </c>
      <c r="I178">
        <v>952</v>
      </c>
      <c r="J178">
        <v>0</v>
      </c>
      <c r="K178">
        <v>670</v>
      </c>
      <c r="L178">
        <v>505</v>
      </c>
      <c r="M178">
        <v>165</v>
      </c>
      <c r="N178">
        <v>165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165</v>
      </c>
      <c r="Z178">
        <v>0</v>
      </c>
      <c r="AA178">
        <v>0</v>
      </c>
      <c r="AB178">
        <v>165</v>
      </c>
      <c r="AC178">
        <v>6</v>
      </c>
      <c r="AD178">
        <v>159</v>
      </c>
      <c r="AE178">
        <v>5</v>
      </c>
      <c r="AF178">
        <v>2</v>
      </c>
      <c r="AG178">
        <v>0</v>
      </c>
      <c r="AH178">
        <v>1</v>
      </c>
      <c r="AI178">
        <v>0</v>
      </c>
      <c r="AJ178">
        <v>1</v>
      </c>
      <c r="AK178">
        <v>0</v>
      </c>
      <c r="AL178">
        <v>0</v>
      </c>
      <c r="AM178">
        <v>0</v>
      </c>
      <c r="AN178">
        <v>1</v>
      </c>
      <c r="AO178">
        <v>0</v>
      </c>
      <c r="AP178">
        <v>5</v>
      </c>
      <c r="AQ178">
        <v>2</v>
      </c>
      <c r="AR178">
        <v>0</v>
      </c>
      <c r="AS178">
        <v>1</v>
      </c>
      <c r="AT178">
        <v>0</v>
      </c>
      <c r="AU178">
        <v>0</v>
      </c>
      <c r="AV178">
        <v>0</v>
      </c>
      <c r="AW178">
        <v>0</v>
      </c>
      <c r="AX178">
        <v>1</v>
      </c>
      <c r="AY178">
        <v>0</v>
      </c>
      <c r="AZ178">
        <v>0</v>
      </c>
      <c r="BA178">
        <v>0</v>
      </c>
      <c r="BB178">
        <v>2</v>
      </c>
      <c r="BC178">
        <v>6</v>
      </c>
      <c r="BD178">
        <v>4</v>
      </c>
      <c r="BE178">
        <v>1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1</v>
      </c>
      <c r="BL178">
        <v>0</v>
      </c>
      <c r="BM178">
        <v>0</v>
      </c>
      <c r="BN178">
        <v>6</v>
      </c>
      <c r="BO178">
        <v>65</v>
      </c>
      <c r="BP178">
        <v>55</v>
      </c>
      <c r="BQ178">
        <v>1</v>
      </c>
      <c r="BR178">
        <v>6</v>
      </c>
      <c r="BS178">
        <v>1</v>
      </c>
      <c r="BT178">
        <v>0</v>
      </c>
      <c r="BU178">
        <v>0</v>
      </c>
      <c r="BV178">
        <v>1</v>
      </c>
      <c r="BW178">
        <v>1</v>
      </c>
      <c r="BX178">
        <v>0</v>
      </c>
      <c r="BY178">
        <v>0</v>
      </c>
      <c r="BZ178">
        <v>65</v>
      </c>
      <c r="CA178">
        <v>4</v>
      </c>
      <c r="CB178">
        <v>1</v>
      </c>
      <c r="CC178">
        <v>0</v>
      </c>
      <c r="CD178">
        <v>2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1</v>
      </c>
      <c r="CK178">
        <v>0</v>
      </c>
      <c r="CL178">
        <v>4</v>
      </c>
      <c r="CM178">
        <v>5</v>
      </c>
      <c r="CN178">
        <v>0</v>
      </c>
      <c r="CO178">
        <v>0</v>
      </c>
      <c r="CP178">
        <v>0</v>
      </c>
      <c r="CQ178">
        <v>5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5</v>
      </c>
      <c r="CY178">
        <v>15</v>
      </c>
      <c r="CZ178">
        <v>9</v>
      </c>
      <c r="DA178">
        <v>2</v>
      </c>
      <c r="DB178">
        <v>1</v>
      </c>
      <c r="DC178">
        <v>0</v>
      </c>
      <c r="DD178">
        <v>0</v>
      </c>
      <c r="DE178">
        <v>1</v>
      </c>
      <c r="DF178">
        <v>2</v>
      </c>
      <c r="DG178">
        <v>0</v>
      </c>
      <c r="DH178">
        <v>0</v>
      </c>
      <c r="DI178">
        <v>0</v>
      </c>
      <c r="DJ178">
        <v>15</v>
      </c>
      <c r="DK178">
        <v>25</v>
      </c>
      <c r="DL178">
        <v>13</v>
      </c>
      <c r="DM178">
        <v>9</v>
      </c>
      <c r="DN178">
        <v>0</v>
      </c>
      <c r="DO178">
        <v>0</v>
      </c>
      <c r="DP178">
        <v>0</v>
      </c>
      <c r="DQ178">
        <v>0</v>
      </c>
      <c r="DR178">
        <v>1</v>
      </c>
      <c r="DS178">
        <v>1</v>
      </c>
      <c r="DT178">
        <v>0</v>
      </c>
      <c r="DU178">
        <v>1</v>
      </c>
      <c r="DV178">
        <v>25</v>
      </c>
      <c r="DW178">
        <v>32</v>
      </c>
      <c r="DX178">
        <v>2</v>
      </c>
      <c r="DY178">
        <v>1</v>
      </c>
      <c r="DZ178">
        <v>0</v>
      </c>
      <c r="EA178">
        <v>21</v>
      </c>
      <c r="EB178">
        <v>0</v>
      </c>
      <c r="EC178">
        <v>2</v>
      </c>
      <c r="ED178">
        <v>0</v>
      </c>
      <c r="EE178">
        <v>0</v>
      </c>
      <c r="EF178">
        <v>6</v>
      </c>
      <c r="EG178">
        <v>0</v>
      </c>
      <c r="EH178">
        <v>32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</row>
    <row r="179" spans="1:172" ht="14.25">
      <c r="A179">
        <v>174</v>
      </c>
      <c r="B179" t="str">
        <f t="shared" si="32"/>
        <v>100507</v>
      </c>
      <c r="C179" t="str">
        <f t="shared" si="33"/>
        <v>Łowicz</v>
      </c>
      <c r="D179" t="str">
        <f t="shared" si="31"/>
        <v>Łowicki</v>
      </c>
      <c r="E179" t="str">
        <f t="shared" si="28"/>
        <v>łódzkie</v>
      </c>
      <c r="F179">
        <v>6</v>
      </c>
      <c r="G179" t="str">
        <f>"Szkoła Podstawowa, Niedźwiada 43, 99-400 Łowicz"</f>
        <v>Szkoła Podstawowa, Niedźwiada 43, 99-400 Łowicz</v>
      </c>
      <c r="H179">
        <v>912</v>
      </c>
      <c r="I179">
        <v>912</v>
      </c>
      <c r="J179">
        <v>0</v>
      </c>
      <c r="K179">
        <v>640</v>
      </c>
      <c r="L179">
        <v>451</v>
      </c>
      <c r="M179">
        <v>189</v>
      </c>
      <c r="N179">
        <v>189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189</v>
      </c>
      <c r="Z179">
        <v>0</v>
      </c>
      <c r="AA179">
        <v>0</v>
      </c>
      <c r="AB179">
        <v>189</v>
      </c>
      <c r="AC179">
        <v>3</v>
      </c>
      <c r="AD179">
        <v>186</v>
      </c>
      <c r="AE179">
        <v>3</v>
      </c>
      <c r="AF179">
        <v>2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1</v>
      </c>
      <c r="AP179">
        <v>3</v>
      </c>
      <c r="AQ179">
        <v>5</v>
      </c>
      <c r="AR179">
        <v>4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5</v>
      </c>
      <c r="BC179">
        <v>10</v>
      </c>
      <c r="BD179">
        <v>8</v>
      </c>
      <c r="BE179">
        <v>2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10</v>
      </c>
      <c r="BO179">
        <v>68</v>
      </c>
      <c r="BP179">
        <v>54</v>
      </c>
      <c r="BQ179">
        <v>4</v>
      </c>
      <c r="BR179">
        <v>0</v>
      </c>
      <c r="BS179">
        <v>3</v>
      </c>
      <c r="BT179">
        <v>0</v>
      </c>
      <c r="BU179">
        <v>6</v>
      </c>
      <c r="BV179">
        <v>0</v>
      </c>
      <c r="BW179">
        <v>0</v>
      </c>
      <c r="BX179">
        <v>0</v>
      </c>
      <c r="BY179">
        <v>1</v>
      </c>
      <c r="BZ179">
        <v>68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2</v>
      </c>
      <c r="CN179">
        <v>0</v>
      </c>
      <c r="CO179">
        <v>0</v>
      </c>
      <c r="CP179">
        <v>0</v>
      </c>
      <c r="CQ179">
        <v>2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2</v>
      </c>
      <c r="CY179">
        <v>17</v>
      </c>
      <c r="CZ179">
        <v>10</v>
      </c>
      <c r="DA179">
        <v>2</v>
      </c>
      <c r="DB179">
        <v>0</v>
      </c>
      <c r="DC179">
        <v>0</v>
      </c>
      <c r="DD179">
        <v>1</v>
      </c>
      <c r="DE179">
        <v>0</v>
      </c>
      <c r="DF179">
        <v>0</v>
      </c>
      <c r="DG179">
        <v>1</v>
      </c>
      <c r="DH179">
        <v>1</v>
      </c>
      <c r="DI179">
        <v>2</v>
      </c>
      <c r="DJ179">
        <v>17</v>
      </c>
      <c r="DK179">
        <v>22</v>
      </c>
      <c r="DL179">
        <v>18</v>
      </c>
      <c r="DM179">
        <v>4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22</v>
      </c>
      <c r="DW179">
        <v>58</v>
      </c>
      <c r="DX179">
        <v>0</v>
      </c>
      <c r="DY179">
        <v>3</v>
      </c>
      <c r="DZ179">
        <v>0</v>
      </c>
      <c r="EA179">
        <v>50</v>
      </c>
      <c r="EB179">
        <v>2</v>
      </c>
      <c r="EC179">
        <v>0</v>
      </c>
      <c r="ED179">
        <v>0</v>
      </c>
      <c r="EE179">
        <v>1</v>
      </c>
      <c r="EF179">
        <v>2</v>
      </c>
      <c r="EG179">
        <v>0</v>
      </c>
      <c r="EH179">
        <v>58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1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1</v>
      </c>
      <c r="FO179">
        <v>0</v>
      </c>
      <c r="FP179">
        <v>1</v>
      </c>
    </row>
    <row r="180" spans="1:172" ht="14.25">
      <c r="A180">
        <v>175</v>
      </c>
      <c r="B180" t="str">
        <f t="shared" si="32"/>
        <v>100507</v>
      </c>
      <c r="C180" t="str">
        <f t="shared" si="33"/>
        <v>Łowicz</v>
      </c>
      <c r="D180" t="str">
        <f t="shared" si="31"/>
        <v>Łowicki</v>
      </c>
      <c r="E180" t="str">
        <f t="shared" si="28"/>
        <v>łódzkie</v>
      </c>
      <c r="F180">
        <v>7</v>
      </c>
      <c r="G180" t="str">
        <f>"Szkoła Podstawowa, Wygoda 78, 99-400 Łowicz"</f>
        <v>Szkoła Podstawowa, Wygoda 78, 99-400 Łowicz</v>
      </c>
      <c r="H180">
        <v>615</v>
      </c>
      <c r="I180">
        <v>615</v>
      </c>
      <c r="J180">
        <v>0</v>
      </c>
      <c r="K180">
        <v>430</v>
      </c>
      <c r="L180">
        <v>350</v>
      </c>
      <c r="M180">
        <v>80</v>
      </c>
      <c r="N180">
        <v>80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80</v>
      </c>
      <c r="Z180">
        <v>0</v>
      </c>
      <c r="AA180">
        <v>0</v>
      </c>
      <c r="AB180">
        <v>80</v>
      </c>
      <c r="AC180">
        <v>4</v>
      </c>
      <c r="AD180">
        <v>76</v>
      </c>
      <c r="AE180">
        <v>3</v>
      </c>
      <c r="AF180">
        <v>1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1</v>
      </c>
      <c r="AM180">
        <v>0</v>
      </c>
      <c r="AN180">
        <v>0</v>
      </c>
      <c r="AO180">
        <v>0</v>
      </c>
      <c r="AP180">
        <v>3</v>
      </c>
      <c r="AQ180">
        <v>1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1</v>
      </c>
      <c r="BC180">
        <v>1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30</v>
      </c>
      <c r="BP180">
        <v>23</v>
      </c>
      <c r="BQ180">
        <v>6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30</v>
      </c>
      <c r="CA180">
        <v>1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1</v>
      </c>
      <c r="CJ180">
        <v>0</v>
      </c>
      <c r="CK180">
        <v>0</v>
      </c>
      <c r="CL180">
        <v>1</v>
      </c>
      <c r="CM180">
        <v>3</v>
      </c>
      <c r="CN180">
        <v>1</v>
      </c>
      <c r="CO180">
        <v>0</v>
      </c>
      <c r="CP180">
        <v>0</v>
      </c>
      <c r="CQ180">
        <v>2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3</v>
      </c>
      <c r="CY180">
        <v>11</v>
      </c>
      <c r="CZ180">
        <v>6</v>
      </c>
      <c r="DA180">
        <v>1</v>
      </c>
      <c r="DB180">
        <v>1</v>
      </c>
      <c r="DC180">
        <v>0</v>
      </c>
      <c r="DD180">
        <v>3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11</v>
      </c>
      <c r="DK180">
        <v>5</v>
      </c>
      <c r="DL180">
        <v>5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5</v>
      </c>
      <c r="DW180">
        <v>19</v>
      </c>
      <c r="DX180">
        <v>0</v>
      </c>
      <c r="DY180">
        <v>0</v>
      </c>
      <c r="DZ180">
        <v>0</v>
      </c>
      <c r="EA180">
        <v>16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3</v>
      </c>
      <c r="EH180">
        <v>19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1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1</v>
      </c>
      <c r="FB180">
        <v>0</v>
      </c>
      <c r="FC180">
        <v>0</v>
      </c>
      <c r="FD180">
        <v>1</v>
      </c>
      <c r="FE180">
        <v>1</v>
      </c>
      <c r="FF180">
        <v>0</v>
      </c>
      <c r="FG180">
        <v>0</v>
      </c>
      <c r="FH180">
        <v>0</v>
      </c>
      <c r="FI180">
        <v>0</v>
      </c>
      <c r="FJ180">
        <v>1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1</v>
      </c>
    </row>
    <row r="181" spans="1:172" ht="14.25">
      <c r="A181">
        <v>176</v>
      </c>
      <c r="B181" t="str">
        <f t="shared" si="32"/>
        <v>100507</v>
      </c>
      <c r="C181" t="str">
        <f t="shared" si="33"/>
        <v>Łowicz</v>
      </c>
      <c r="D181" t="str">
        <f t="shared" si="31"/>
        <v>Łowicki</v>
      </c>
      <c r="E181" t="str">
        <f t="shared" si="28"/>
        <v>łódzkie</v>
      </c>
      <c r="F181">
        <v>8</v>
      </c>
      <c r="G181" t="s">
        <v>44</v>
      </c>
      <c r="H181">
        <v>369</v>
      </c>
      <c r="I181">
        <v>369</v>
      </c>
      <c r="J181">
        <v>0</v>
      </c>
      <c r="K181">
        <v>260</v>
      </c>
      <c r="L181">
        <v>173</v>
      </c>
      <c r="M181">
        <v>87</v>
      </c>
      <c r="N181">
        <v>87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87</v>
      </c>
      <c r="Z181">
        <v>0</v>
      </c>
      <c r="AA181">
        <v>0</v>
      </c>
      <c r="AB181">
        <v>87</v>
      </c>
      <c r="AC181">
        <v>4</v>
      </c>
      <c r="AD181">
        <v>83</v>
      </c>
      <c r="AE181">
        <v>1</v>
      </c>
      <c r="AF181">
        <v>0</v>
      </c>
      <c r="AG181">
        <v>0</v>
      </c>
      <c r="AH181">
        <v>0</v>
      </c>
      <c r="AI181">
        <v>1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1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2</v>
      </c>
      <c r="BD181">
        <v>1</v>
      </c>
      <c r="BE181">
        <v>1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2</v>
      </c>
      <c r="BO181">
        <v>57</v>
      </c>
      <c r="BP181">
        <v>46</v>
      </c>
      <c r="BQ181">
        <v>2</v>
      </c>
      <c r="BR181">
        <v>1</v>
      </c>
      <c r="BS181">
        <v>1</v>
      </c>
      <c r="BT181">
        <v>0</v>
      </c>
      <c r="BU181">
        <v>5</v>
      </c>
      <c r="BV181">
        <v>1</v>
      </c>
      <c r="BW181">
        <v>0</v>
      </c>
      <c r="BX181">
        <v>0</v>
      </c>
      <c r="BY181">
        <v>1</v>
      </c>
      <c r="BZ181">
        <v>57</v>
      </c>
      <c r="CA181">
        <v>3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1</v>
      </c>
      <c r="CK181">
        <v>0</v>
      </c>
      <c r="CL181">
        <v>3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4</v>
      </c>
      <c r="CZ181">
        <v>3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1</v>
      </c>
      <c r="DH181">
        <v>0</v>
      </c>
      <c r="DI181">
        <v>0</v>
      </c>
      <c r="DJ181">
        <v>4</v>
      </c>
      <c r="DK181">
        <v>6</v>
      </c>
      <c r="DL181">
        <v>4</v>
      </c>
      <c r="DM181">
        <v>1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1</v>
      </c>
      <c r="DV181">
        <v>6</v>
      </c>
      <c r="DW181">
        <v>10</v>
      </c>
      <c r="DX181">
        <v>0</v>
      </c>
      <c r="DY181">
        <v>1</v>
      </c>
      <c r="DZ181">
        <v>0</v>
      </c>
      <c r="EA181">
        <v>9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10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</row>
    <row r="182" spans="1:172" ht="14.25">
      <c r="A182">
        <v>177</v>
      </c>
      <c r="B182" t="str">
        <f aca="true" t="shared" si="34" ref="B182:B189">"100508"</f>
        <v>100508</v>
      </c>
      <c r="C182" t="str">
        <f aca="true" t="shared" si="35" ref="C182:C189">"Łyszkowice"</f>
        <v>Łyszkowice</v>
      </c>
      <c r="D182" t="str">
        <f t="shared" si="31"/>
        <v>Łowicki</v>
      </c>
      <c r="E182" t="str">
        <f t="shared" si="28"/>
        <v>łódzkie</v>
      </c>
      <c r="F182">
        <v>1</v>
      </c>
      <c r="G182" t="str">
        <f>"Przedszkole, ul.Gminna 5A, 99-420 Łyszkowice"</f>
        <v>Przedszkole, ul.Gminna 5A, 99-420 Łyszkowice</v>
      </c>
      <c r="H182">
        <v>1606</v>
      </c>
      <c r="I182">
        <v>1606</v>
      </c>
      <c r="J182">
        <v>0</v>
      </c>
      <c r="K182">
        <v>1130</v>
      </c>
      <c r="L182">
        <v>869</v>
      </c>
      <c r="M182">
        <v>261</v>
      </c>
      <c r="N182">
        <v>261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261</v>
      </c>
      <c r="Z182">
        <v>0</v>
      </c>
      <c r="AA182">
        <v>0</v>
      </c>
      <c r="AB182">
        <v>261</v>
      </c>
      <c r="AC182">
        <v>10</v>
      </c>
      <c r="AD182">
        <v>251</v>
      </c>
      <c r="AE182">
        <v>6</v>
      </c>
      <c r="AF182">
        <v>2</v>
      </c>
      <c r="AG182">
        <v>1</v>
      </c>
      <c r="AH182">
        <v>1</v>
      </c>
      <c r="AI182">
        <v>0</v>
      </c>
      <c r="AJ182">
        <v>0</v>
      </c>
      <c r="AK182">
        <v>0</v>
      </c>
      <c r="AL182">
        <v>0</v>
      </c>
      <c r="AM182">
        <v>2</v>
      </c>
      <c r="AN182">
        <v>0</v>
      </c>
      <c r="AO182">
        <v>0</v>
      </c>
      <c r="AP182">
        <v>6</v>
      </c>
      <c r="AQ182">
        <v>2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1</v>
      </c>
      <c r="BA182">
        <v>1</v>
      </c>
      <c r="BB182">
        <v>2</v>
      </c>
      <c r="BC182">
        <v>19</v>
      </c>
      <c r="BD182">
        <v>11</v>
      </c>
      <c r="BE182">
        <v>2</v>
      </c>
      <c r="BF182">
        <v>0</v>
      </c>
      <c r="BG182">
        <v>3</v>
      </c>
      <c r="BH182">
        <v>0</v>
      </c>
      <c r="BI182">
        <v>0</v>
      </c>
      <c r="BJ182">
        <v>1</v>
      </c>
      <c r="BK182">
        <v>0</v>
      </c>
      <c r="BL182">
        <v>0</v>
      </c>
      <c r="BM182">
        <v>2</v>
      </c>
      <c r="BN182">
        <v>19</v>
      </c>
      <c r="BO182">
        <v>92</v>
      </c>
      <c r="BP182">
        <v>84</v>
      </c>
      <c r="BQ182">
        <v>2</v>
      </c>
      <c r="BR182">
        <v>2</v>
      </c>
      <c r="BS182">
        <v>0</v>
      </c>
      <c r="BT182">
        <v>0</v>
      </c>
      <c r="BU182">
        <v>1</v>
      </c>
      <c r="BV182">
        <v>0</v>
      </c>
      <c r="BW182">
        <v>0</v>
      </c>
      <c r="BX182">
        <v>0</v>
      </c>
      <c r="BY182">
        <v>3</v>
      </c>
      <c r="BZ182">
        <v>92</v>
      </c>
      <c r="CA182">
        <v>4</v>
      </c>
      <c r="CB182">
        <v>1</v>
      </c>
      <c r="CC182">
        <v>0</v>
      </c>
      <c r="CD182">
        <v>0</v>
      </c>
      <c r="CE182">
        <v>0</v>
      </c>
      <c r="CF182">
        <v>1</v>
      </c>
      <c r="CG182">
        <v>0</v>
      </c>
      <c r="CH182">
        <v>0</v>
      </c>
      <c r="CI182">
        <v>2</v>
      </c>
      <c r="CJ182">
        <v>0</v>
      </c>
      <c r="CK182">
        <v>0</v>
      </c>
      <c r="CL182">
        <v>4</v>
      </c>
      <c r="CM182">
        <v>17</v>
      </c>
      <c r="CN182">
        <v>6</v>
      </c>
      <c r="CO182">
        <v>0</v>
      </c>
      <c r="CP182">
        <v>0</v>
      </c>
      <c r="CQ182">
        <v>9</v>
      </c>
      <c r="CR182">
        <v>0</v>
      </c>
      <c r="CS182">
        <v>1</v>
      </c>
      <c r="CT182">
        <v>1</v>
      </c>
      <c r="CU182">
        <v>0</v>
      </c>
      <c r="CV182">
        <v>0</v>
      </c>
      <c r="CW182">
        <v>0</v>
      </c>
      <c r="CX182">
        <v>17</v>
      </c>
      <c r="CY182">
        <v>11</v>
      </c>
      <c r="CZ182">
        <v>9</v>
      </c>
      <c r="DA182">
        <v>0</v>
      </c>
      <c r="DB182">
        <v>1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1</v>
      </c>
      <c r="DJ182">
        <v>11</v>
      </c>
      <c r="DK182">
        <v>70</v>
      </c>
      <c r="DL182">
        <v>21</v>
      </c>
      <c r="DM182">
        <v>39</v>
      </c>
      <c r="DN182">
        <v>4</v>
      </c>
      <c r="DO182">
        <v>0</v>
      </c>
      <c r="DP182">
        <v>0</v>
      </c>
      <c r="DQ182">
        <v>1</v>
      </c>
      <c r="DR182">
        <v>0</v>
      </c>
      <c r="DS182">
        <v>1</v>
      </c>
      <c r="DT182">
        <v>2</v>
      </c>
      <c r="DU182">
        <v>2</v>
      </c>
      <c r="DV182">
        <v>70</v>
      </c>
      <c r="DW182">
        <v>27</v>
      </c>
      <c r="DX182">
        <v>1</v>
      </c>
      <c r="DY182">
        <v>1</v>
      </c>
      <c r="DZ182">
        <v>0</v>
      </c>
      <c r="EA182">
        <v>18</v>
      </c>
      <c r="EB182">
        <v>0</v>
      </c>
      <c r="EC182">
        <v>1</v>
      </c>
      <c r="ED182">
        <v>0</v>
      </c>
      <c r="EE182">
        <v>1</v>
      </c>
      <c r="EF182">
        <v>4</v>
      </c>
      <c r="EG182">
        <v>1</v>
      </c>
      <c r="EH182">
        <v>27</v>
      </c>
      <c r="EI182">
        <v>1</v>
      </c>
      <c r="EJ182">
        <v>0</v>
      </c>
      <c r="EK182">
        <v>1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1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2</v>
      </c>
      <c r="FF182">
        <v>1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1</v>
      </c>
      <c r="FP182">
        <v>2</v>
      </c>
    </row>
    <row r="183" spans="1:172" ht="14.25">
      <c r="A183">
        <v>178</v>
      </c>
      <c r="B183" t="str">
        <f t="shared" si="34"/>
        <v>100508</v>
      </c>
      <c r="C183" t="str">
        <f t="shared" si="35"/>
        <v>Łyszkowice</v>
      </c>
      <c r="D183" t="str">
        <f t="shared" si="31"/>
        <v>Łowicki</v>
      </c>
      <c r="E183" t="str">
        <f t="shared" si="28"/>
        <v>łódzkie</v>
      </c>
      <c r="F183">
        <v>2</v>
      </c>
      <c r="G183" t="str">
        <f>"Szkoła Podstawowa, Seligów 41, 99-420 Łyszkowice"</f>
        <v>Szkoła Podstawowa, Seligów 41, 99-420 Łyszkowice</v>
      </c>
      <c r="H183">
        <v>437</v>
      </c>
      <c r="I183">
        <v>437</v>
      </c>
      <c r="J183">
        <v>0</v>
      </c>
      <c r="K183">
        <v>310</v>
      </c>
      <c r="L183">
        <v>261</v>
      </c>
      <c r="M183">
        <v>49</v>
      </c>
      <c r="N183">
        <v>49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49</v>
      </c>
      <c r="Z183">
        <v>0</v>
      </c>
      <c r="AA183">
        <v>0</v>
      </c>
      <c r="AB183">
        <v>49</v>
      </c>
      <c r="AC183">
        <v>1</v>
      </c>
      <c r="AD183">
        <v>48</v>
      </c>
      <c r="AE183">
        <v>1</v>
      </c>
      <c r="AF183">
        <v>0</v>
      </c>
      <c r="AG183">
        <v>0</v>
      </c>
      <c r="AH183">
        <v>0</v>
      </c>
      <c r="AI183">
        <v>0</v>
      </c>
      <c r="AJ183">
        <v>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1</v>
      </c>
      <c r="AQ183">
        <v>1</v>
      </c>
      <c r="AR183">
        <v>0</v>
      </c>
      <c r="AS183">
        <v>1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1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29</v>
      </c>
      <c r="BP183">
        <v>28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1</v>
      </c>
      <c r="BY183">
        <v>0</v>
      </c>
      <c r="BZ183">
        <v>29</v>
      </c>
      <c r="CA183">
        <v>4</v>
      </c>
      <c r="CB183">
        <v>3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4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7</v>
      </c>
      <c r="DL183">
        <v>0</v>
      </c>
      <c r="DM183">
        <v>5</v>
      </c>
      <c r="DN183">
        <v>2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7</v>
      </c>
      <c r="DW183">
        <v>5</v>
      </c>
      <c r="DX183">
        <v>0</v>
      </c>
      <c r="DY183">
        <v>1</v>
      </c>
      <c r="DZ183">
        <v>0</v>
      </c>
      <c r="EA183">
        <v>4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5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1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1</v>
      </c>
      <c r="FP183">
        <v>1</v>
      </c>
    </row>
    <row r="184" spans="1:172" ht="14.25">
      <c r="A184">
        <v>179</v>
      </c>
      <c r="B184" t="str">
        <f t="shared" si="34"/>
        <v>100508</v>
      </c>
      <c r="C184" t="str">
        <f t="shared" si="35"/>
        <v>Łyszkowice</v>
      </c>
      <c r="D184" t="str">
        <f t="shared" si="31"/>
        <v>Łowicki</v>
      </c>
      <c r="E184" t="str">
        <f t="shared" si="28"/>
        <v>łódzkie</v>
      </c>
      <c r="F184">
        <v>3</v>
      </c>
      <c r="G184" t="str">
        <f>"Szkoła Podstawowa, Stachlew 57, 99-418 Bełchów"</f>
        <v>Szkoła Podstawowa, Stachlew 57, 99-418 Bełchów</v>
      </c>
      <c r="H184">
        <v>676</v>
      </c>
      <c r="I184">
        <v>676</v>
      </c>
      <c r="J184">
        <v>0</v>
      </c>
      <c r="K184">
        <v>480</v>
      </c>
      <c r="L184">
        <v>368</v>
      </c>
      <c r="M184">
        <v>112</v>
      </c>
      <c r="N184">
        <v>112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112</v>
      </c>
      <c r="Z184">
        <v>0</v>
      </c>
      <c r="AA184">
        <v>0</v>
      </c>
      <c r="AB184">
        <v>112</v>
      </c>
      <c r="AC184">
        <v>10</v>
      </c>
      <c r="AD184">
        <v>102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2</v>
      </c>
      <c r="AR184">
        <v>2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2</v>
      </c>
      <c r="BC184">
        <v>6</v>
      </c>
      <c r="BD184">
        <v>3</v>
      </c>
      <c r="BE184">
        <v>2</v>
      </c>
      <c r="BF184">
        <v>1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6</v>
      </c>
      <c r="BO184">
        <v>44</v>
      </c>
      <c r="BP184">
        <v>42</v>
      </c>
      <c r="BQ184">
        <v>0</v>
      </c>
      <c r="BR184">
        <v>0</v>
      </c>
      <c r="BS184">
        <v>2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44</v>
      </c>
      <c r="CA184">
        <v>1</v>
      </c>
      <c r="CB18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8</v>
      </c>
      <c r="CZ184">
        <v>7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1</v>
      </c>
      <c r="DH184">
        <v>0</v>
      </c>
      <c r="DI184">
        <v>0</v>
      </c>
      <c r="DJ184">
        <v>8</v>
      </c>
      <c r="DK184">
        <v>10</v>
      </c>
      <c r="DL184">
        <v>3</v>
      </c>
      <c r="DM184">
        <v>5</v>
      </c>
      <c r="DN184">
        <v>2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10</v>
      </c>
      <c r="DW184">
        <v>31</v>
      </c>
      <c r="DX184">
        <v>1</v>
      </c>
      <c r="DY184">
        <v>16</v>
      </c>
      <c r="DZ184">
        <v>0</v>
      </c>
      <c r="EA184">
        <v>14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31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</row>
    <row r="185" spans="1:172" ht="14.25">
      <c r="A185">
        <v>180</v>
      </c>
      <c r="B185" t="str">
        <f t="shared" si="34"/>
        <v>100508</v>
      </c>
      <c r="C185" t="str">
        <f t="shared" si="35"/>
        <v>Łyszkowice</v>
      </c>
      <c r="D185" t="str">
        <f t="shared" si="31"/>
        <v>Łowicki</v>
      </c>
      <c r="E185" t="str">
        <f t="shared" si="28"/>
        <v>łódzkie</v>
      </c>
      <c r="F185">
        <v>4</v>
      </c>
      <c r="G185" t="str">
        <f>"Szkoła Podstawowa, Kalenice 119, 99-420 Łyszkowice"</f>
        <v>Szkoła Podstawowa, Kalenice 119, 99-420 Łyszkowice</v>
      </c>
      <c r="H185">
        <v>764</v>
      </c>
      <c r="I185">
        <v>764</v>
      </c>
      <c r="J185">
        <v>0</v>
      </c>
      <c r="K185">
        <v>540</v>
      </c>
      <c r="L185">
        <v>439</v>
      </c>
      <c r="M185">
        <v>101</v>
      </c>
      <c r="N185">
        <v>101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101</v>
      </c>
      <c r="Z185">
        <v>0</v>
      </c>
      <c r="AA185">
        <v>0</v>
      </c>
      <c r="AB185">
        <v>101</v>
      </c>
      <c r="AC185">
        <v>0</v>
      </c>
      <c r="AD185">
        <v>101</v>
      </c>
      <c r="AE185">
        <v>1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1</v>
      </c>
      <c r="AQ185">
        <v>1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1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1</v>
      </c>
      <c r="BJ185">
        <v>0</v>
      </c>
      <c r="BK185">
        <v>0</v>
      </c>
      <c r="BL185">
        <v>0</v>
      </c>
      <c r="BM185">
        <v>0</v>
      </c>
      <c r="BN185">
        <v>1</v>
      </c>
      <c r="BO185">
        <v>31</v>
      </c>
      <c r="BP185">
        <v>26</v>
      </c>
      <c r="BQ185">
        <v>3</v>
      </c>
      <c r="BR185">
        <v>0</v>
      </c>
      <c r="BS185">
        <v>1</v>
      </c>
      <c r="BT185">
        <v>0</v>
      </c>
      <c r="BU185">
        <v>1</v>
      </c>
      <c r="BV185">
        <v>0</v>
      </c>
      <c r="BW185">
        <v>0</v>
      </c>
      <c r="BX185">
        <v>0</v>
      </c>
      <c r="BY185">
        <v>0</v>
      </c>
      <c r="BZ185">
        <v>31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1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1</v>
      </c>
      <c r="CY185">
        <v>6</v>
      </c>
      <c r="CZ185">
        <v>4</v>
      </c>
      <c r="DA185">
        <v>0</v>
      </c>
      <c r="DB185">
        <v>0</v>
      </c>
      <c r="DC185">
        <v>0</v>
      </c>
      <c r="DD185">
        <v>2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6</v>
      </c>
      <c r="DK185">
        <v>45</v>
      </c>
      <c r="DL185">
        <v>7</v>
      </c>
      <c r="DM185">
        <v>38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45</v>
      </c>
      <c r="DW185">
        <v>15</v>
      </c>
      <c r="DX185">
        <v>3</v>
      </c>
      <c r="DY185">
        <v>1</v>
      </c>
      <c r="DZ185">
        <v>0</v>
      </c>
      <c r="EA185">
        <v>10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1</v>
      </c>
      <c r="EH185">
        <v>15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</row>
    <row r="186" spans="1:172" ht="14.25">
      <c r="A186">
        <v>181</v>
      </c>
      <c r="B186" t="str">
        <f t="shared" si="34"/>
        <v>100508</v>
      </c>
      <c r="C186" t="str">
        <f t="shared" si="35"/>
        <v>Łyszkowice</v>
      </c>
      <c r="D186" t="str">
        <f t="shared" si="31"/>
        <v>Łowicki</v>
      </c>
      <c r="E186" t="str">
        <f t="shared" si="28"/>
        <v>łódzkie</v>
      </c>
      <c r="F186">
        <v>5</v>
      </c>
      <c r="G186" t="str">
        <f>"Strażnica OSP, Czatolin 207A, 99-420 Łyszkowice"</f>
        <v>Strażnica OSP, Czatolin 207A, 99-420 Łyszkowice</v>
      </c>
      <c r="H186">
        <v>482</v>
      </c>
      <c r="I186">
        <v>482</v>
      </c>
      <c r="J186">
        <v>0</v>
      </c>
      <c r="K186">
        <v>340</v>
      </c>
      <c r="L186">
        <v>290</v>
      </c>
      <c r="M186">
        <v>50</v>
      </c>
      <c r="N186">
        <v>50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50</v>
      </c>
      <c r="Z186">
        <v>0</v>
      </c>
      <c r="AA186">
        <v>0</v>
      </c>
      <c r="AB186">
        <v>50</v>
      </c>
      <c r="AC186">
        <v>2</v>
      </c>
      <c r="AD186">
        <v>48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1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1</v>
      </c>
      <c r="BA186">
        <v>0</v>
      </c>
      <c r="BB186">
        <v>1</v>
      </c>
      <c r="BC186">
        <v>1</v>
      </c>
      <c r="BD186">
        <v>0</v>
      </c>
      <c r="BE186">
        <v>0</v>
      </c>
      <c r="BF186">
        <v>0</v>
      </c>
      <c r="BG186">
        <v>0</v>
      </c>
      <c r="BH186">
        <v>1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1</v>
      </c>
      <c r="BO186">
        <v>25</v>
      </c>
      <c r="BP186">
        <v>21</v>
      </c>
      <c r="BQ186">
        <v>0</v>
      </c>
      <c r="BR186">
        <v>0</v>
      </c>
      <c r="BS186">
        <v>0</v>
      </c>
      <c r="BT186">
        <v>0</v>
      </c>
      <c r="BU186">
        <v>4</v>
      </c>
      <c r="BV186">
        <v>0</v>
      </c>
      <c r="BW186">
        <v>0</v>
      </c>
      <c r="BX186">
        <v>0</v>
      </c>
      <c r="BY186">
        <v>0</v>
      </c>
      <c r="BZ186">
        <v>25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1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1</v>
      </c>
      <c r="DI186">
        <v>0</v>
      </c>
      <c r="DJ186">
        <v>1</v>
      </c>
      <c r="DK186">
        <v>13</v>
      </c>
      <c r="DL186">
        <v>5</v>
      </c>
      <c r="DM186">
        <v>6</v>
      </c>
      <c r="DN186">
        <v>0</v>
      </c>
      <c r="DO186">
        <v>0</v>
      </c>
      <c r="DP186">
        <v>0</v>
      </c>
      <c r="DQ186">
        <v>0</v>
      </c>
      <c r="DR186">
        <v>2</v>
      </c>
      <c r="DS186">
        <v>0</v>
      </c>
      <c r="DT186">
        <v>0</v>
      </c>
      <c r="DU186">
        <v>0</v>
      </c>
      <c r="DV186">
        <v>13</v>
      </c>
      <c r="DW186">
        <v>6</v>
      </c>
      <c r="DX186">
        <v>1</v>
      </c>
      <c r="DY186">
        <v>0</v>
      </c>
      <c r="DZ186">
        <v>0</v>
      </c>
      <c r="EA186">
        <v>3</v>
      </c>
      <c r="EB186">
        <v>0</v>
      </c>
      <c r="EC186">
        <v>1</v>
      </c>
      <c r="ED186">
        <v>0</v>
      </c>
      <c r="EE186">
        <v>0</v>
      </c>
      <c r="EF186">
        <v>1</v>
      </c>
      <c r="EG186">
        <v>0</v>
      </c>
      <c r="EH186">
        <v>6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1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1</v>
      </c>
      <c r="EZ186">
        <v>0</v>
      </c>
      <c r="FA186">
        <v>0</v>
      </c>
      <c r="FB186">
        <v>0</v>
      </c>
      <c r="FC186">
        <v>0</v>
      </c>
      <c r="FD186">
        <v>1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</row>
    <row r="187" spans="1:172" ht="14.25">
      <c r="A187">
        <v>182</v>
      </c>
      <c r="B187" t="str">
        <f t="shared" si="34"/>
        <v>100508</v>
      </c>
      <c r="C187" t="str">
        <f t="shared" si="35"/>
        <v>Łyszkowice</v>
      </c>
      <c r="D187" t="str">
        <f t="shared" si="31"/>
        <v>Łowicki</v>
      </c>
      <c r="E187" t="str">
        <f t="shared" si="28"/>
        <v>łódzkie</v>
      </c>
      <c r="F187">
        <v>6</v>
      </c>
      <c r="G187" t="str">
        <f>"Strażnica OSP, Łagów 62A, 99-420 Łyszkowice"</f>
        <v>Strażnica OSP, Łagów 62A, 99-420 Łyszkowice</v>
      </c>
      <c r="H187">
        <v>404</v>
      </c>
      <c r="I187">
        <v>404</v>
      </c>
      <c r="J187">
        <v>0</v>
      </c>
      <c r="K187">
        <v>280</v>
      </c>
      <c r="L187">
        <v>232</v>
      </c>
      <c r="M187">
        <v>48</v>
      </c>
      <c r="N187">
        <v>48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48</v>
      </c>
      <c r="Z187">
        <v>0</v>
      </c>
      <c r="AA187">
        <v>0</v>
      </c>
      <c r="AB187">
        <v>48</v>
      </c>
      <c r="AC187">
        <v>1</v>
      </c>
      <c r="AD187">
        <v>47</v>
      </c>
      <c r="AE187">
        <v>1</v>
      </c>
      <c r="AF187">
        <v>1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1</v>
      </c>
      <c r="AQ187">
        <v>1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1</v>
      </c>
      <c r="BA187">
        <v>0</v>
      </c>
      <c r="BB187">
        <v>1</v>
      </c>
      <c r="BC187">
        <v>4</v>
      </c>
      <c r="BD187">
        <v>2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2</v>
      </c>
      <c r="BN187">
        <v>4</v>
      </c>
      <c r="BO187">
        <v>29</v>
      </c>
      <c r="BP187">
        <v>26</v>
      </c>
      <c r="BQ187">
        <v>2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29</v>
      </c>
      <c r="CA187">
        <v>1</v>
      </c>
      <c r="CB187">
        <v>0</v>
      </c>
      <c r="CC187">
        <v>1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3</v>
      </c>
      <c r="CZ187">
        <v>3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3</v>
      </c>
      <c r="DK187">
        <v>2</v>
      </c>
      <c r="DL187">
        <v>0</v>
      </c>
      <c r="DM187">
        <v>2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2</v>
      </c>
      <c r="DW187">
        <v>6</v>
      </c>
      <c r="DX187">
        <v>0</v>
      </c>
      <c r="DY187">
        <v>2</v>
      </c>
      <c r="DZ187">
        <v>0</v>
      </c>
      <c r="EA187">
        <v>4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6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</row>
    <row r="188" spans="1:172" ht="14.25">
      <c r="A188">
        <v>183</v>
      </c>
      <c r="B188" t="str">
        <f t="shared" si="34"/>
        <v>100508</v>
      </c>
      <c r="C188" t="str">
        <f t="shared" si="35"/>
        <v>Łyszkowice</v>
      </c>
      <c r="D188" t="str">
        <f t="shared" si="31"/>
        <v>Łowicki</v>
      </c>
      <c r="E188" t="str">
        <f t="shared" si="28"/>
        <v>łódzkie</v>
      </c>
      <c r="F188">
        <v>7</v>
      </c>
      <c r="G188" t="str">
        <f>"Strażnica OSP, Gzinka 21B, 99-420 Łyszkowice"</f>
        <v>Strażnica OSP, Gzinka 21B, 99-420 Łyszkowice</v>
      </c>
      <c r="H188">
        <v>515</v>
      </c>
      <c r="I188">
        <v>515</v>
      </c>
      <c r="J188">
        <v>0</v>
      </c>
      <c r="K188">
        <v>360</v>
      </c>
      <c r="L188">
        <v>287</v>
      </c>
      <c r="M188">
        <v>73</v>
      </c>
      <c r="N188">
        <v>73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73</v>
      </c>
      <c r="Z188">
        <v>0</v>
      </c>
      <c r="AA188">
        <v>0</v>
      </c>
      <c r="AB188">
        <v>73</v>
      </c>
      <c r="AC188">
        <v>6</v>
      </c>
      <c r="AD188">
        <v>67</v>
      </c>
      <c r="AE188">
        <v>1</v>
      </c>
      <c r="AF188">
        <v>0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1</v>
      </c>
      <c r="BD188">
        <v>1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25</v>
      </c>
      <c r="BP188">
        <v>18</v>
      </c>
      <c r="BQ188">
        <v>1</v>
      </c>
      <c r="BR188">
        <v>0</v>
      </c>
      <c r="BS188">
        <v>1</v>
      </c>
      <c r="BT188">
        <v>0</v>
      </c>
      <c r="BU188">
        <v>4</v>
      </c>
      <c r="BV188">
        <v>0</v>
      </c>
      <c r="BW188">
        <v>0</v>
      </c>
      <c r="BX188">
        <v>0</v>
      </c>
      <c r="BY188">
        <v>1</v>
      </c>
      <c r="BZ188">
        <v>25</v>
      </c>
      <c r="CA188">
        <v>2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1</v>
      </c>
      <c r="CK188">
        <v>0</v>
      </c>
      <c r="CL188">
        <v>2</v>
      </c>
      <c r="CM188">
        <v>1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1</v>
      </c>
      <c r="CY188">
        <v>1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1</v>
      </c>
      <c r="DK188">
        <v>10</v>
      </c>
      <c r="DL188">
        <v>2</v>
      </c>
      <c r="DM188">
        <v>7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1</v>
      </c>
      <c r="DT188">
        <v>0</v>
      </c>
      <c r="DU188">
        <v>0</v>
      </c>
      <c r="DV188">
        <v>10</v>
      </c>
      <c r="DW188">
        <v>26</v>
      </c>
      <c r="DX188">
        <v>0</v>
      </c>
      <c r="DY188">
        <v>2</v>
      </c>
      <c r="DZ188">
        <v>0</v>
      </c>
      <c r="EA188">
        <v>23</v>
      </c>
      <c r="EB188">
        <v>0</v>
      </c>
      <c r="EC188">
        <v>0</v>
      </c>
      <c r="ED188">
        <v>0</v>
      </c>
      <c r="EE188">
        <v>0</v>
      </c>
      <c r="EF188">
        <v>1</v>
      </c>
      <c r="EG188">
        <v>0</v>
      </c>
      <c r="EH188">
        <v>26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</row>
    <row r="189" spans="1:172" ht="14.25">
      <c r="A189">
        <v>184</v>
      </c>
      <c r="B189" t="str">
        <f t="shared" si="34"/>
        <v>100508</v>
      </c>
      <c r="C189" t="str">
        <f t="shared" si="35"/>
        <v>Łyszkowice</v>
      </c>
      <c r="D189" t="str">
        <f t="shared" si="31"/>
        <v>Łowicki</v>
      </c>
      <c r="E189" t="str">
        <f t="shared" si="28"/>
        <v>łódzkie</v>
      </c>
      <c r="F189">
        <v>8</v>
      </c>
      <c r="G189" t="str">
        <f>"Strażnica OSP, Polesie 66A, 99-418 Bełchów"</f>
        <v>Strażnica OSP, Polesie 66A, 99-418 Bełchów</v>
      </c>
      <c r="H189">
        <v>551</v>
      </c>
      <c r="I189">
        <v>551</v>
      </c>
      <c r="J189">
        <v>0</v>
      </c>
      <c r="K189">
        <v>390</v>
      </c>
      <c r="L189">
        <v>311</v>
      </c>
      <c r="M189">
        <v>79</v>
      </c>
      <c r="N189">
        <v>79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79</v>
      </c>
      <c r="Z189">
        <v>0</v>
      </c>
      <c r="AA189">
        <v>0</v>
      </c>
      <c r="AB189">
        <v>79</v>
      </c>
      <c r="AC189">
        <v>5</v>
      </c>
      <c r="AD189">
        <v>74</v>
      </c>
      <c r="AE189">
        <v>3</v>
      </c>
      <c r="AF189">
        <v>1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2</v>
      </c>
      <c r="AN189">
        <v>0</v>
      </c>
      <c r="AO189">
        <v>0</v>
      </c>
      <c r="AP189">
        <v>3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4</v>
      </c>
      <c r="BD189">
        <v>2</v>
      </c>
      <c r="BE189">
        <v>0</v>
      </c>
      <c r="BF189">
        <v>0</v>
      </c>
      <c r="BG189">
        <v>0</v>
      </c>
      <c r="BH189">
        <v>0</v>
      </c>
      <c r="BI189">
        <v>1</v>
      </c>
      <c r="BJ189">
        <v>0</v>
      </c>
      <c r="BK189">
        <v>1</v>
      </c>
      <c r="BL189">
        <v>0</v>
      </c>
      <c r="BM189">
        <v>0</v>
      </c>
      <c r="BN189">
        <v>4</v>
      </c>
      <c r="BO189">
        <v>29</v>
      </c>
      <c r="BP189">
        <v>23</v>
      </c>
      <c r="BQ189">
        <v>2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4</v>
      </c>
      <c r="BY189">
        <v>0</v>
      </c>
      <c r="BZ189">
        <v>29</v>
      </c>
      <c r="CA189">
        <v>1</v>
      </c>
      <c r="CB189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12</v>
      </c>
      <c r="CZ189">
        <v>10</v>
      </c>
      <c r="DA189">
        <v>0</v>
      </c>
      <c r="DB189">
        <v>0</v>
      </c>
      <c r="DC189">
        <v>1</v>
      </c>
      <c r="DD189">
        <v>0</v>
      </c>
      <c r="DE189">
        <v>1</v>
      </c>
      <c r="DF189">
        <v>0</v>
      </c>
      <c r="DG189">
        <v>0</v>
      </c>
      <c r="DH189">
        <v>0</v>
      </c>
      <c r="DI189">
        <v>0</v>
      </c>
      <c r="DJ189">
        <v>12</v>
      </c>
      <c r="DK189">
        <v>10</v>
      </c>
      <c r="DL189">
        <v>4</v>
      </c>
      <c r="DM189">
        <v>6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10</v>
      </c>
      <c r="DW189">
        <v>15</v>
      </c>
      <c r="DX189">
        <v>0</v>
      </c>
      <c r="DY189">
        <v>1</v>
      </c>
      <c r="DZ189">
        <v>0</v>
      </c>
      <c r="EA189">
        <v>13</v>
      </c>
      <c r="EB189">
        <v>0</v>
      </c>
      <c r="EC189">
        <v>1</v>
      </c>
      <c r="ED189">
        <v>0</v>
      </c>
      <c r="EE189">
        <v>0</v>
      </c>
      <c r="EF189">
        <v>0</v>
      </c>
      <c r="EG189">
        <v>0</v>
      </c>
      <c r="EH189">
        <v>15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</row>
    <row r="190" spans="1:172" ht="14.25">
      <c r="A190">
        <v>185</v>
      </c>
      <c r="B190" t="str">
        <f aca="true" t="shared" si="36" ref="B190:B197">"100509"</f>
        <v>100509</v>
      </c>
      <c r="C190" t="str">
        <f aca="true" t="shared" si="37" ref="C190:C197">"Nieborów"</f>
        <v>Nieborów</v>
      </c>
      <c r="D190" t="str">
        <f t="shared" si="31"/>
        <v>Łowicki</v>
      </c>
      <c r="E190" t="str">
        <f t="shared" si="28"/>
        <v>łódzkie</v>
      </c>
      <c r="F190">
        <v>1</v>
      </c>
      <c r="G190" t="str">
        <f>"Gimnazjum Nr 1, Aleja Legionów Polskich 8, Kompina, 99-416 Nieborów"</f>
        <v>Gimnazjum Nr 1, Aleja Legionów Polskich 8, Kompina, 99-416 Nieborów</v>
      </c>
      <c r="H190">
        <v>448</v>
      </c>
      <c r="I190">
        <v>448</v>
      </c>
      <c r="J190">
        <v>0</v>
      </c>
      <c r="K190">
        <v>320</v>
      </c>
      <c r="L190">
        <v>199</v>
      </c>
      <c r="M190">
        <v>121</v>
      </c>
      <c r="N190">
        <v>121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121</v>
      </c>
      <c r="Z190">
        <v>0</v>
      </c>
      <c r="AA190">
        <v>0</v>
      </c>
      <c r="AB190">
        <v>121</v>
      </c>
      <c r="AC190">
        <v>4</v>
      </c>
      <c r="AD190">
        <v>117</v>
      </c>
      <c r="AE190">
        <v>3</v>
      </c>
      <c r="AF190">
        <v>3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3</v>
      </c>
      <c r="AQ190">
        <v>2</v>
      </c>
      <c r="AR190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1</v>
      </c>
      <c r="BA190">
        <v>0</v>
      </c>
      <c r="BB190">
        <v>2</v>
      </c>
      <c r="BC190">
        <v>3</v>
      </c>
      <c r="BD190">
        <v>1</v>
      </c>
      <c r="BE190">
        <v>1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1</v>
      </c>
      <c r="BL190">
        <v>0</v>
      </c>
      <c r="BM190">
        <v>0</v>
      </c>
      <c r="BN190">
        <v>3</v>
      </c>
      <c r="BO190">
        <v>76</v>
      </c>
      <c r="BP190">
        <v>68</v>
      </c>
      <c r="BQ190">
        <v>2</v>
      </c>
      <c r="BR190">
        <v>1</v>
      </c>
      <c r="BS190">
        <v>1</v>
      </c>
      <c r="BT190">
        <v>0</v>
      </c>
      <c r="BU190">
        <v>3</v>
      </c>
      <c r="BV190">
        <v>0</v>
      </c>
      <c r="BW190">
        <v>0</v>
      </c>
      <c r="BX190">
        <v>1</v>
      </c>
      <c r="BY190">
        <v>0</v>
      </c>
      <c r="BZ190">
        <v>76</v>
      </c>
      <c r="CA190">
        <v>2</v>
      </c>
      <c r="CB190">
        <v>0</v>
      </c>
      <c r="CC190">
        <v>2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2</v>
      </c>
      <c r="CM190">
        <v>5</v>
      </c>
      <c r="CN190">
        <v>4</v>
      </c>
      <c r="CO190">
        <v>0</v>
      </c>
      <c r="CP190">
        <v>0</v>
      </c>
      <c r="CQ190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5</v>
      </c>
      <c r="CY190">
        <v>5</v>
      </c>
      <c r="CZ190">
        <v>4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1</v>
      </c>
      <c r="DI190">
        <v>0</v>
      </c>
      <c r="DJ190">
        <v>5</v>
      </c>
      <c r="DK190">
        <v>8</v>
      </c>
      <c r="DL190">
        <v>5</v>
      </c>
      <c r="DM190">
        <v>3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8</v>
      </c>
      <c r="DW190">
        <v>13</v>
      </c>
      <c r="DX190">
        <v>1</v>
      </c>
      <c r="DY190">
        <v>4</v>
      </c>
      <c r="DZ190">
        <v>0</v>
      </c>
      <c r="EA190">
        <v>8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13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</row>
    <row r="191" spans="1:172" ht="14.25">
      <c r="A191">
        <v>186</v>
      </c>
      <c r="B191" t="str">
        <f t="shared" si="36"/>
        <v>100509</v>
      </c>
      <c r="C191" t="str">
        <f t="shared" si="37"/>
        <v>Nieborów</v>
      </c>
      <c r="D191" t="str">
        <f t="shared" si="31"/>
        <v>Łowicki</v>
      </c>
      <c r="E191" t="str">
        <f t="shared" si="28"/>
        <v>łódzkie</v>
      </c>
      <c r="F191">
        <v>2</v>
      </c>
      <c r="G191" t="str">
        <f>"Szkoła Podstawowa, Aleja Legionów Polskich 61, Bednary, 99-416 Nieborów"</f>
        <v>Szkoła Podstawowa, Aleja Legionów Polskich 61, Bednary, 99-416 Nieborów</v>
      </c>
      <c r="H191">
        <v>1228</v>
      </c>
      <c r="I191">
        <v>1228</v>
      </c>
      <c r="J191">
        <v>0</v>
      </c>
      <c r="K191">
        <v>860</v>
      </c>
      <c r="L191">
        <v>620</v>
      </c>
      <c r="M191">
        <v>240</v>
      </c>
      <c r="N191">
        <v>240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240</v>
      </c>
      <c r="Z191">
        <v>0</v>
      </c>
      <c r="AA191">
        <v>0</v>
      </c>
      <c r="AB191">
        <v>240</v>
      </c>
      <c r="AC191">
        <v>6</v>
      </c>
      <c r="AD191">
        <v>234</v>
      </c>
      <c r="AE191">
        <v>12</v>
      </c>
      <c r="AF191">
        <v>5</v>
      </c>
      <c r="AG191">
        <v>0</v>
      </c>
      <c r="AH191">
        <v>0</v>
      </c>
      <c r="AI191">
        <v>0</v>
      </c>
      <c r="AJ191">
        <v>2</v>
      </c>
      <c r="AK191">
        <v>0</v>
      </c>
      <c r="AL191">
        <v>1</v>
      </c>
      <c r="AM191">
        <v>1</v>
      </c>
      <c r="AN191">
        <v>0</v>
      </c>
      <c r="AO191">
        <v>3</v>
      </c>
      <c r="AP191">
        <v>12</v>
      </c>
      <c r="AQ191">
        <v>2</v>
      </c>
      <c r="AR191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1</v>
      </c>
      <c r="BB191">
        <v>2</v>
      </c>
      <c r="BC191">
        <v>5</v>
      </c>
      <c r="BD191">
        <v>3</v>
      </c>
      <c r="BE191">
        <v>1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1</v>
      </c>
      <c r="BN191">
        <v>5</v>
      </c>
      <c r="BO191">
        <v>120</v>
      </c>
      <c r="BP191">
        <v>100</v>
      </c>
      <c r="BQ191">
        <v>5</v>
      </c>
      <c r="BR191">
        <v>1</v>
      </c>
      <c r="BS191">
        <v>2</v>
      </c>
      <c r="BT191">
        <v>1</v>
      </c>
      <c r="BU191">
        <v>7</v>
      </c>
      <c r="BV191">
        <v>0</v>
      </c>
      <c r="BW191">
        <v>1</v>
      </c>
      <c r="BX191">
        <v>1</v>
      </c>
      <c r="BY191">
        <v>2</v>
      </c>
      <c r="BZ191">
        <v>120</v>
      </c>
      <c r="CA191">
        <v>5</v>
      </c>
      <c r="CB191">
        <v>2</v>
      </c>
      <c r="CC191">
        <v>1</v>
      </c>
      <c r="CD191">
        <v>0</v>
      </c>
      <c r="CE191">
        <v>0</v>
      </c>
      <c r="CF191">
        <v>1</v>
      </c>
      <c r="CG191">
        <v>0</v>
      </c>
      <c r="CH191">
        <v>0</v>
      </c>
      <c r="CI191">
        <v>0</v>
      </c>
      <c r="CJ191">
        <v>1</v>
      </c>
      <c r="CK191">
        <v>0</v>
      </c>
      <c r="CL191">
        <v>5</v>
      </c>
      <c r="CM191">
        <v>5</v>
      </c>
      <c r="CN191">
        <v>2</v>
      </c>
      <c r="CO191">
        <v>0</v>
      </c>
      <c r="CP191">
        <v>0</v>
      </c>
      <c r="CQ191">
        <v>1</v>
      </c>
      <c r="CR191">
        <v>1</v>
      </c>
      <c r="CS191">
        <v>1</v>
      </c>
      <c r="CT191">
        <v>0</v>
      </c>
      <c r="CU191">
        <v>0</v>
      </c>
      <c r="CV191">
        <v>0</v>
      </c>
      <c r="CW191">
        <v>0</v>
      </c>
      <c r="CX191">
        <v>5</v>
      </c>
      <c r="CY191">
        <v>26</v>
      </c>
      <c r="CZ191">
        <v>19</v>
      </c>
      <c r="DA191">
        <v>0</v>
      </c>
      <c r="DB191">
        <v>2</v>
      </c>
      <c r="DC191">
        <v>0</v>
      </c>
      <c r="DD191">
        <v>2</v>
      </c>
      <c r="DE191">
        <v>0</v>
      </c>
      <c r="DF191">
        <v>1</v>
      </c>
      <c r="DG191">
        <v>1</v>
      </c>
      <c r="DH191">
        <v>1</v>
      </c>
      <c r="DI191">
        <v>0</v>
      </c>
      <c r="DJ191">
        <v>26</v>
      </c>
      <c r="DK191">
        <v>15</v>
      </c>
      <c r="DL191">
        <v>12</v>
      </c>
      <c r="DM191">
        <v>2</v>
      </c>
      <c r="DN191">
        <v>0</v>
      </c>
      <c r="DO191">
        <v>0</v>
      </c>
      <c r="DP191">
        <v>0</v>
      </c>
      <c r="DQ191">
        <v>0</v>
      </c>
      <c r="DR191">
        <v>1</v>
      </c>
      <c r="DS191">
        <v>0</v>
      </c>
      <c r="DT191">
        <v>0</v>
      </c>
      <c r="DU191">
        <v>0</v>
      </c>
      <c r="DV191">
        <v>15</v>
      </c>
      <c r="DW191">
        <v>40</v>
      </c>
      <c r="DX191">
        <v>1</v>
      </c>
      <c r="DY191">
        <v>3</v>
      </c>
      <c r="DZ191">
        <v>0</v>
      </c>
      <c r="EA191">
        <v>28</v>
      </c>
      <c r="EB191">
        <v>2</v>
      </c>
      <c r="EC191">
        <v>0</v>
      </c>
      <c r="ED191">
        <v>0</v>
      </c>
      <c r="EE191">
        <v>2</v>
      </c>
      <c r="EF191">
        <v>4</v>
      </c>
      <c r="EG191">
        <v>0</v>
      </c>
      <c r="EH191">
        <v>40</v>
      </c>
      <c r="EI191">
        <v>1</v>
      </c>
      <c r="EJ191">
        <v>0</v>
      </c>
      <c r="EK191">
        <v>0</v>
      </c>
      <c r="EL191">
        <v>0</v>
      </c>
      <c r="EM191">
        <v>1</v>
      </c>
      <c r="EN191">
        <v>0</v>
      </c>
      <c r="EO191">
        <v>0</v>
      </c>
      <c r="EP191">
        <v>0</v>
      </c>
      <c r="EQ191">
        <v>0</v>
      </c>
      <c r="ER191">
        <v>1</v>
      </c>
      <c r="ES191">
        <v>1</v>
      </c>
      <c r="ET191">
        <v>1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1</v>
      </c>
      <c r="FE191">
        <v>2</v>
      </c>
      <c r="FF191">
        <v>1</v>
      </c>
      <c r="FG191">
        <v>1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2</v>
      </c>
    </row>
    <row r="192" spans="1:172" ht="14.25">
      <c r="A192">
        <v>187</v>
      </c>
      <c r="B192" t="str">
        <f t="shared" si="36"/>
        <v>100509</v>
      </c>
      <c r="C192" t="str">
        <f t="shared" si="37"/>
        <v>Nieborów</v>
      </c>
      <c r="D192" t="str">
        <f t="shared" si="31"/>
        <v>Łowicki</v>
      </c>
      <c r="E192" t="str">
        <f t="shared" si="28"/>
        <v>łódzkie</v>
      </c>
      <c r="F192">
        <v>3</v>
      </c>
      <c r="G192" t="str">
        <f>"Zespół Placówek Oświatowych, Aleja Legionów Polskich 92, 99-416 Nieborów"</f>
        <v>Zespół Placówek Oświatowych, Aleja Legionów Polskich 92, 99-416 Nieborów</v>
      </c>
      <c r="H192">
        <v>1320</v>
      </c>
      <c r="I192">
        <v>1320</v>
      </c>
      <c r="J192">
        <v>0</v>
      </c>
      <c r="K192">
        <v>930</v>
      </c>
      <c r="L192">
        <v>691</v>
      </c>
      <c r="M192">
        <v>239</v>
      </c>
      <c r="N192">
        <v>239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239</v>
      </c>
      <c r="Z192">
        <v>0</v>
      </c>
      <c r="AA192">
        <v>0</v>
      </c>
      <c r="AB192">
        <v>239</v>
      </c>
      <c r="AC192">
        <v>10</v>
      </c>
      <c r="AD192">
        <v>229</v>
      </c>
      <c r="AE192">
        <v>7</v>
      </c>
      <c r="AF192">
        <v>2</v>
      </c>
      <c r="AG192">
        <v>1</v>
      </c>
      <c r="AH192">
        <v>0</v>
      </c>
      <c r="AI192">
        <v>1</v>
      </c>
      <c r="AJ192">
        <v>0</v>
      </c>
      <c r="AK192">
        <v>0</v>
      </c>
      <c r="AL192">
        <v>3</v>
      </c>
      <c r="AM192">
        <v>0</v>
      </c>
      <c r="AN192">
        <v>0</v>
      </c>
      <c r="AO192">
        <v>0</v>
      </c>
      <c r="AP192">
        <v>7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33</v>
      </c>
      <c r="BD192">
        <v>9</v>
      </c>
      <c r="BE192">
        <v>0</v>
      </c>
      <c r="BF192">
        <v>0</v>
      </c>
      <c r="BG192">
        <v>1</v>
      </c>
      <c r="BH192">
        <v>1</v>
      </c>
      <c r="BI192">
        <v>0</v>
      </c>
      <c r="BJ192">
        <v>0</v>
      </c>
      <c r="BK192">
        <v>17</v>
      </c>
      <c r="BL192">
        <v>0</v>
      </c>
      <c r="BM192">
        <v>5</v>
      </c>
      <c r="BN192">
        <v>33</v>
      </c>
      <c r="BO192">
        <v>79</v>
      </c>
      <c r="BP192">
        <v>60</v>
      </c>
      <c r="BQ192">
        <v>1</v>
      </c>
      <c r="BR192">
        <v>1</v>
      </c>
      <c r="BS192">
        <v>2</v>
      </c>
      <c r="BT192">
        <v>1</v>
      </c>
      <c r="BU192">
        <v>2</v>
      </c>
      <c r="BV192">
        <v>4</v>
      </c>
      <c r="BW192">
        <v>3</v>
      </c>
      <c r="BX192">
        <v>3</v>
      </c>
      <c r="BY192">
        <v>2</v>
      </c>
      <c r="BZ192">
        <v>79</v>
      </c>
      <c r="CA192">
        <v>3</v>
      </c>
      <c r="CB192">
        <v>0</v>
      </c>
      <c r="CC192">
        <v>0</v>
      </c>
      <c r="CD192">
        <v>1</v>
      </c>
      <c r="CE192">
        <v>0</v>
      </c>
      <c r="CF192">
        <v>0</v>
      </c>
      <c r="CG192">
        <v>1</v>
      </c>
      <c r="CH192">
        <v>0</v>
      </c>
      <c r="CI192">
        <v>0</v>
      </c>
      <c r="CJ192">
        <v>1</v>
      </c>
      <c r="CK192">
        <v>0</v>
      </c>
      <c r="CL192">
        <v>3</v>
      </c>
      <c r="CM192">
        <v>11</v>
      </c>
      <c r="CN192">
        <v>6</v>
      </c>
      <c r="CO192">
        <v>1</v>
      </c>
      <c r="CP192">
        <v>0</v>
      </c>
      <c r="CQ192">
        <v>3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0</v>
      </c>
      <c r="CX192">
        <v>11</v>
      </c>
      <c r="CY192">
        <v>25</v>
      </c>
      <c r="CZ192">
        <v>17</v>
      </c>
      <c r="DA192">
        <v>0</v>
      </c>
      <c r="DB192">
        <v>2</v>
      </c>
      <c r="DC192">
        <v>0</v>
      </c>
      <c r="DD192">
        <v>0</v>
      </c>
      <c r="DE192">
        <v>1</v>
      </c>
      <c r="DF192">
        <v>2</v>
      </c>
      <c r="DG192">
        <v>0</v>
      </c>
      <c r="DH192">
        <v>1</v>
      </c>
      <c r="DI192">
        <v>2</v>
      </c>
      <c r="DJ192">
        <v>25</v>
      </c>
      <c r="DK192">
        <v>45</v>
      </c>
      <c r="DL192">
        <v>32</v>
      </c>
      <c r="DM192">
        <v>9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1</v>
      </c>
      <c r="DT192">
        <v>2</v>
      </c>
      <c r="DU192">
        <v>1</v>
      </c>
      <c r="DV192">
        <v>45</v>
      </c>
      <c r="DW192">
        <v>23</v>
      </c>
      <c r="DX192">
        <v>2</v>
      </c>
      <c r="DY192">
        <v>4</v>
      </c>
      <c r="DZ192">
        <v>0</v>
      </c>
      <c r="EA192">
        <v>13</v>
      </c>
      <c r="EB192">
        <v>0</v>
      </c>
      <c r="EC192">
        <v>1</v>
      </c>
      <c r="ED192">
        <v>0</v>
      </c>
      <c r="EE192">
        <v>2</v>
      </c>
      <c r="EF192">
        <v>0</v>
      </c>
      <c r="EG192">
        <v>1</v>
      </c>
      <c r="EH192">
        <v>23</v>
      </c>
      <c r="EI192">
        <v>1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1</v>
      </c>
      <c r="EP192">
        <v>0</v>
      </c>
      <c r="EQ192">
        <v>0</v>
      </c>
      <c r="ER192">
        <v>1</v>
      </c>
      <c r="ES192">
        <v>1</v>
      </c>
      <c r="ET192">
        <v>1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1</v>
      </c>
      <c r="FE192">
        <v>1</v>
      </c>
      <c r="FF192">
        <v>1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1</v>
      </c>
    </row>
    <row r="193" spans="1:172" ht="14.25">
      <c r="A193">
        <v>188</v>
      </c>
      <c r="B193" t="str">
        <f t="shared" si="36"/>
        <v>100509</v>
      </c>
      <c r="C193" t="str">
        <f t="shared" si="37"/>
        <v>Nieborów</v>
      </c>
      <c r="D193" t="str">
        <f t="shared" si="31"/>
        <v>Łowicki</v>
      </c>
      <c r="E193" t="str">
        <f t="shared" si="28"/>
        <v>łódzkie</v>
      </c>
      <c r="F193">
        <v>4</v>
      </c>
      <c r="G193" t="str">
        <f>"Szkoła Podstawowa, Mysłaków 55 A, 99-416 Nieborów"</f>
        <v>Szkoła Podstawowa, Mysłaków 55 A, 99-416 Nieborów</v>
      </c>
      <c r="H193">
        <v>1084</v>
      </c>
      <c r="I193">
        <v>1084</v>
      </c>
      <c r="J193">
        <v>0</v>
      </c>
      <c r="K193">
        <v>760</v>
      </c>
      <c r="L193">
        <v>574</v>
      </c>
      <c r="M193">
        <v>186</v>
      </c>
      <c r="N193">
        <v>186</v>
      </c>
      <c r="O193">
        <v>0</v>
      </c>
      <c r="P193">
        <v>0</v>
      </c>
      <c r="Q193">
        <v>5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186</v>
      </c>
      <c r="Z193">
        <v>0</v>
      </c>
      <c r="AA193">
        <v>0</v>
      </c>
      <c r="AB193">
        <v>186</v>
      </c>
      <c r="AC193">
        <v>4</v>
      </c>
      <c r="AD193">
        <v>182</v>
      </c>
      <c r="AE193">
        <v>2</v>
      </c>
      <c r="AF193">
        <v>0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2</v>
      </c>
      <c r="AQ193">
        <v>2</v>
      </c>
      <c r="AR193">
        <v>0</v>
      </c>
      <c r="AS193">
        <v>1</v>
      </c>
      <c r="AT193">
        <v>0</v>
      </c>
      <c r="AU193">
        <v>1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2</v>
      </c>
      <c r="BC193">
        <v>13</v>
      </c>
      <c r="BD193">
        <v>8</v>
      </c>
      <c r="BE193">
        <v>1</v>
      </c>
      <c r="BF193">
        <v>0</v>
      </c>
      <c r="BG193">
        <v>3</v>
      </c>
      <c r="BH193">
        <v>0</v>
      </c>
      <c r="BI193">
        <v>0</v>
      </c>
      <c r="BJ193">
        <v>0</v>
      </c>
      <c r="BK193">
        <v>1</v>
      </c>
      <c r="BL193">
        <v>0</v>
      </c>
      <c r="BM193">
        <v>0</v>
      </c>
      <c r="BN193">
        <v>13</v>
      </c>
      <c r="BO193">
        <v>91</v>
      </c>
      <c r="BP193">
        <v>69</v>
      </c>
      <c r="BQ193">
        <v>7</v>
      </c>
      <c r="BR193">
        <v>3</v>
      </c>
      <c r="BS193">
        <v>3</v>
      </c>
      <c r="BT193">
        <v>0</v>
      </c>
      <c r="BU193">
        <v>2</v>
      </c>
      <c r="BV193">
        <v>1</v>
      </c>
      <c r="BW193">
        <v>0</v>
      </c>
      <c r="BX193">
        <v>0</v>
      </c>
      <c r="BY193">
        <v>6</v>
      </c>
      <c r="BZ193">
        <v>91</v>
      </c>
      <c r="CA193">
        <v>3</v>
      </c>
      <c r="CB193">
        <v>2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3</v>
      </c>
      <c r="CM193">
        <v>5</v>
      </c>
      <c r="CN193">
        <v>1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2</v>
      </c>
      <c r="CX193">
        <v>5</v>
      </c>
      <c r="CY193">
        <v>14</v>
      </c>
      <c r="CZ193">
        <v>8</v>
      </c>
      <c r="DA193">
        <v>1</v>
      </c>
      <c r="DB193">
        <v>1</v>
      </c>
      <c r="DC193">
        <v>0</v>
      </c>
      <c r="DD193">
        <v>1</v>
      </c>
      <c r="DE193">
        <v>0</v>
      </c>
      <c r="DF193">
        <v>0</v>
      </c>
      <c r="DG193">
        <v>2</v>
      </c>
      <c r="DH193">
        <v>0</v>
      </c>
      <c r="DI193">
        <v>1</v>
      </c>
      <c r="DJ193">
        <v>14</v>
      </c>
      <c r="DK193">
        <v>33</v>
      </c>
      <c r="DL193">
        <v>25</v>
      </c>
      <c r="DM193">
        <v>7</v>
      </c>
      <c r="DN193">
        <v>0</v>
      </c>
      <c r="DO193">
        <v>0</v>
      </c>
      <c r="DP193">
        <v>1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33</v>
      </c>
      <c r="DW193">
        <v>15</v>
      </c>
      <c r="DX193">
        <v>1</v>
      </c>
      <c r="DY193">
        <v>1</v>
      </c>
      <c r="DZ193">
        <v>0</v>
      </c>
      <c r="EA193">
        <v>11</v>
      </c>
      <c r="EB193">
        <v>0</v>
      </c>
      <c r="EC193">
        <v>0</v>
      </c>
      <c r="ED193">
        <v>0</v>
      </c>
      <c r="EE193">
        <v>1</v>
      </c>
      <c r="EF193">
        <v>1</v>
      </c>
      <c r="EG193">
        <v>0</v>
      </c>
      <c r="EH193">
        <v>15</v>
      </c>
      <c r="EI193">
        <v>1</v>
      </c>
      <c r="EJ193">
        <v>0</v>
      </c>
      <c r="EK193">
        <v>1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1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3</v>
      </c>
      <c r="FF193">
        <v>1</v>
      </c>
      <c r="FG193">
        <v>1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1</v>
      </c>
      <c r="FN193">
        <v>0</v>
      </c>
      <c r="FO193">
        <v>0</v>
      </c>
      <c r="FP193">
        <v>3</v>
      </c>
    </row>
    <row r="194" spans="1:172" ht="14.25">
      <c r="A194">
        <v>189</v>
      </c>
      <c r="B194" t="str">
        <f t="shared" si="36"/>
        <v>100509</v>
      </c>
      <c r="C194" t="str">
        <f t="shared" si="37"/>
        <v>Nieborów</v>
      </c>
      <c r="D194" t="str">
        <f t="shared" si="31"/>
        <v>Łowicki</v>
      </c>
      <c r="E194" t="str">
        <f t="shared" si="28"/>
        <v>łódzkie</v>
      </c>
      <c r="F194">
        <v>5</v>
      </c>
      <c r="G194" t="str">
        <f>"Szkoła Podstawowa, Bobrowniki 126, 99-418 Bełchów"</f>
        <v>Szkoła Podstawowa, Bobrowniki 126, 99-418 Bełchów</v>
      </c>
      <c r="H194">
        <v>1022</v>
      </c>
      <c r="I194">
        <v>1022</v>
      </c>
      <c r="J194">
        <v>0</v>
      </c>
      <c r="K194">
        <v>720</v>
      </c>
      <c r="L194">
        <v>474</v>
      </c>
      <c r="M194">
        <v>246</v>
      </c>
      <c r="N194">
        <v>246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246</v>
      </c>
      <c r="Z194">
        <v>0</v>
      </c>
      <c r="AA194">
        <v>0</v>
      </c>
      <c r="AB194">
        <v>246</v>
      </c>
      <c r="AC194">
        <v>8</v>
      </c>
      <c r="AD194">
        <v>238</v>
      </c>
      <c r="AE194">
        <v>5</v>
      </c>
      <c r="AF194">
        <v>1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1</v>
      </c>
      <c r="AM194">
        <v>1</v>
      </c>
      <c r="AN194">
        <v>2</v>
      </c>
      <c r="AO194">
        <v>0</v>
      </c>
      <c r="AP194">
        <v>5</v>
      </c>
      <c r="AQ194">
        <v>4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3</v>
      </c>
      <c r="BA194">
        <v>0</v>
      </c>
      <c r="BB194">
        <v>4</v>
      </c>
      <c r="BC194">
        <v>9</v>
      </c>
      <c r="BD194">
        <v>5</v>
      </c>
      <c r="BE194">
        <v>0</v>
      </c>
      <c r="BF194">
        <v>0</v>
      </c>
      <c r="BG194">
        <v>4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9</v>
      </c>
      <c r="BO194">
        <v>159</v>
      </c>
      <c r="BP194">
        <v>108</v>
      </c>
      <c r="BQ194">
        <v>8</v>
      </c>
      <c r="BR194">
        <v>6</v>
      </c>
      <c r="BS194">
        <v>4</v>
      </c>
      <c r="BT194">
        <v>6</v>
      </c>
      <c r="BU194">
        <v>23</v>
      </c>
      <c r="BV194">
        <v>2</v>
      </c>
      <c r="BW194">
        <v>0</v>
      </c>
      <c r="BX194">
        <v>0</v>
      </c>
      <c r="BY194">
        <v>2</v>
      </c>
      <c r="BZ194">
        <v>159</v>
      </c>
      <c r="CA194">
        <v>3</v>
      </c>
      <c r="CB194">
        <v>2</v>
      </c>
      <c r="CC194">
        <v>0</v>
      </c>
      <c r="CD194">
        <v>0</v>
      </c>
      <c r="CE194">
        <v>1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3</v>
      </c>
      <c r="CM194">
        <v>3</v>
      </c>
      <c r="CN194">
        <v>1</v>
      </c>
      <c r="CO194">
        <v>1</v>
      </c>
      <c r="CP194">
        <v>0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3</v>
      </c>
      <c r="CY194">
        <v>5</v>
      </c>
      <c r="CZ194">
        <v>3</v>
      </c>
      <c r="DA194">
        <v>0</v>
      </c>
      <c r="DB194">
        <v>1</v>
      </c>
      <c r="DC194">
        <v>0</v>
      </c>
      <c r="DD194">
        <v>1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5</v>
      </c>
      <c r="DK194">
        <v>24</v>
      </c>
      <c r="DL194">
        <v>14</v>
      </c>
      <c r="DM194">
        <v>5</v>
      </c>
      <c r="DN194">
        <v>0</v>
      </c>
      <c r="DO194">
        <v>1</v>
      </c>
      <c r="DP194">
        <v>0</v>
      </c>
      <c r="DQ194">
        <v>1</v>
      </c>
      <c r="DR194">
        <v>1</v>
      </c>
      <c r="DS194">
        <v>2</v>
      </c>
      <c r="DT194">
        <v>0</v>
      </c>
      <c r="DU194">
        <v>0</v>
      </c>
      <c r="DV194">
        <v>24</v>
      </c>
      <c r="DW194">
        <v>24</v>
      </c>
      <c r="DX194">
        <v>2</v>
      </c>
      <c r="DY194">
        <v>2</v>
      </c>
      <c r="DZ194">
        <v>0</v>
      </c>
      <c r="EA194">
        <v>18</v>
      </c>
      <c r="EB194">
        <v>0</v>
      </c>
      <c r="EC194">
        <v>0</v>
      </c>
      <c r="ED194">
        <v>0</v>
      </c>
      <c r="EE194">
        <v>0</v>
      </c>
      <c r="EF194">
        <v>1</v>
      </c>
      <c r="EG194">
        <v>1</v>
      </c>
      <c r="EH194">
        <v>24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1</v>
      </c>
      <c r="ET194">
        <v>0</v>
      </c>
      <c r="EU194">
        <v>1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1</v>
      </c>
      <c r="FE194">
        <v>1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1</v>
      </c>
      <c r="FM194">
        <v>0</v>
      </c>
      <c r="FN194">
        <v>0</v>
      </c>
      <c r="FO194">
        <v>0</v>
      </c>
      <c r="FP194">
        <v>1</v>
      </c>
    </row>
    <row r="195" spans="1:172" ht="14.25">
      <c r="A195">
        <v>190</v>
      </c>
      <c r="B195" t="str">
        <f t="shared" si="36"/>
        <v>100509</v>
      </c>
      <c r="C195" t="str">
        <f t="shared" si="37"/>
        <v>Nieborów</v>
      </c>
      <c r="D195" t="str">
        <f aca="true" t="shared" si="38" ref="D195:D201">"Łowicki"</f>
        <v>Łowicki</v>
      </c>
      <c r="E195" t="str">
        <f t="shared" si="28"/>
        <v>łódzkie</v>
      </c>
      <c r="F195">
        <v>6</v>
      </c>
      <c r="G195" t="str">
        <f>"Szkoła Podstawowa, Bełchów 85, 99-418 Bełchów"</f>
        <v>Szkoła Podstawowa, Bełchów 85, 99-418 Bełchów</v>
      </c>
      <c r="H195">
        <v>986</v>
      </c>
      <c r="I195">
        <v>986</v>
      </c>
      <c r="J195">
        <v>0</v>
      </c>
      <c r="K195">
        <v>690</v>
      </c>
      <c r="L195">
        <v>529</v>
      </c>
      <c r="M195">
        <v>161</v>
      </c>
      <c r="N195">
        <v>161</v>
      </c>
      <c r="O195">
        <v>0</v>
      </c>
      <c r="P195">
        <v>0</v>
      </c>
      <c r="Q195">
        <v>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161</v>
      </c>
      <c r="Z195">
        <v>0</v>
      </c>
      <c r="AA195">
        <v>0</v>
      </c>
      <c r="AB195">
        <v>161</v>
      </c>
      <c r="AC195">
        <v>8</v>
      </c>
      <c r="AD195">
        <v>153</v>
      </c>
      <c r="AE195">
        <v>5</v>
      </c>
      <c r="AF195">
        <v>1</v>
      </c>
      <c r="AG195">
        <v>3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5</v>
      </c>
      <c r="AQ195">
        <v>2</v>
      </c>
      <c r="AR195">
        <v>1</v>
      </c>
      <c r="AS195">
        <v>0</v>
      </c>
      <c r="AT195">
        <v>1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2</v>
      </c>
      <c r="BC195">
        <v>3</v>
      </c>
      <c r="BD195">
        <v>0</v>
      </c>
      <c r="BE195">
        <v>1</v>
      </c>
      <c r="BF195">
        <v>0</v>
      </c>
      <c r="BG195">
        <v>0</v>
      </c>
      <c r="BH195">
        <v>1</v>
      </c>
      <c r="BI195">
        <v>1</v>
      </c>
      <c r="BJ195">
        <v>0</v>
      </c>
      <c r="BK195">
        <v>0</v>
      </c>
      <c r="BL195">
        <v>0</v>
      </c>
      <c r="BM195">
        <v>0</v>
      </c>
      <c r="BN195">
        <v>3</v>
      </c>
      <c r="BO195">
        <v>67</v>
      </c>
      <c r="BP195">
        <v>60</v>
      </c>
      <c r="BQ195">
        <v>2</v>
      </c>
      <c r="BR195">
        <v>2</v>
      </c>
      <c r="BS195">
        <v>0</v>
      </c>
      <c r="BT195">
        <v>0</v>
      </c>
      <c r="BU195">
        <v>1</v>
      </c>
      <c r="BV195">
        <v>0</v>
      </c>
      <c r="BW195">
        <v>1</v>
      </c>
      <c r="BX195">
        <v>1</v>
      </c>
      <c r="BY195">
        <v>0</v>
      </c>
      <c r="BZ195">
        <v>67</v>
      </c>
      <c r="CA195">
        <v>1</v>
      </c>
      <c r="CB195">
        <v>0</v>
      </c>
      <c r="CC195">
        <v>0</v>
      </c>
      <c r="CD195">
        <v>1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4</v>
      </c>
      <c r="CN195">
        <v>1</v>
      </c>
      <c r="CO195">
        <v>1</v>
      </c>
      <c r="CP195">
        <v>0</v>
      </c>
      <c r="CQ195">
        <v>2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4</v>
      </c>
      <c r="CY195">
        <v>18</v>
      </c>
      <c r="CZ195">
        <v>10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1</v>
      </c>
      <c r="DH195">
        <v>0</v>
      </c>
      <c r="DI195">
        <v>6</v>
      </c>
      <c r="DJ195">
        <v>18</v>
      </c>
      <c r="DK195">
        <v>32</v>
      </c>
      <c r="DL195">
        <v>11</v>
      </c>
      <c r="DM195">
        <v>9</v>
      </c>
      <c r="DN195">
        <v>1</v>
      </c>
      <c r="DO195">
        <v>0</v>
      </c>
      <c r="DP195">
        <v>0</v>
      </c>
      <c r="DQ195">
        <v>0</v>
      </c>
      <c r="DR195">
        <v>3</v>
      </c>
      <c r="DS195">
        <v>2</v>
      </c>
      <c r="DT195">
        <v>1</v>
      </c>
      <c r="DU195">
        <v>5</v>
      </c>
      <c r="DV195">
        <v>32</v>
      </c>
      <c r="DW195">
        <v>19</v>
      </c>
      <c r="DX195">
        <v>0</v>
      </c>
      <c r="DY195">
        <v>5</v>
      </c>
      <c r="DZ195">
        <v>0</v>
      </c>
      <c r="EA195">
        <v>8</v>
      </c>
      <c r="EB195">
        <v>0</v>
      </c>
      <c r="EC195">
        <v>4</v>
      </c>
      <c r="ED195">
        <v>2</v>
      </c>
      <c r="EE195">
        <v>0</v>
      </c>
      <c r="EF195">
        <v>0</v>
      </c>
      <c r="EG195">
        <v>0</v>
      </c>
      <c r="EH195">
        <v>19</v>
      </c>
      <c r="EI195">
        <v>1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1</v>
      </c>
      <c r="EQ195">
        <v>0</v>
      </c>
      <c r="ER195">
        <v>1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1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1</v>
      </c>
      <c r="FL195">
        <v>0</v>
      </c>
      <c r="FM195">
        <v>0</v>
      </c>
      <c r="FN195">
        <v>0</v>
      </c>
      <c r="FO195">
        <v>0</v>
      </c>
      <c r="FP195">
        <v>1</v>
      </c>
    </row>
    <row r="196" spans="1:172" ht="14.25">
      <c r="A196">
        <v>191</v>
      </c>
      <c r="B196" t="str">
        <f t="shared" si="36"/>
        <v>100509</v>
      </c>
      <c r="C196" t="str">
        <f t="shared" si="37"/>
        <v>Nieborów</v>
      </c>
      <c r="D196" t="str">
        <f t="shared" si="38"/>
        <v>Łowicki</v>
      </c>
      <c r="E196" t="str">
        <f t="shared" si="28"/>
        <v>łódzkie</v>
      </c>
      <c r="F196">
        <v>7</v>
      </c>
      <c r="G196" t="str">
        <f>"Filia Gminnego Ośrodka Kultury, 1 Maja 9, 99-418 Bełchów"</f>
        <v>Filia Gminnego Ośrodka Kultury, 1 Maja 9, 99-418 Bełchów</v>
      </c>
      <c r="H196">
        <v>1269</v>
      </c>
      <c r="I196">
        <v>1269</v>
      </c>
      <c r="J196">
        <v>0</v>
      </c>
      <c r="K196">
        <v>890</v>
      </c>
      <c r="L196">
        <v>631</v>
      </c>
      <c r="M196">
        <v>259</v>
      </c>
      <c r="N196">
        <v>259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259</v>
      </c>
      <c r="Z196">
        <v>0</v>
      </c>
      <c r="AA196">
        <v>0</v>
      </c>
      <c r="AB196">
        <v>259</v>
      </c>
      <c r="AC196">
        <v>15</v>
      </c>
      <c r="AD196">
        <v>244</v>
      </c>
      <c r="AE196">
        <v>4</v>
      </c>
      <c r="AF196">
        <v>3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4</v>
      </c>
      <c r="AQ196">
        <v>5</v>
      </c>
      <c r="AR196">
        <v>0</v>
      </c>
      <c r="AS196">
        <v>2</v>
      </c>
      <c r="AT196">
        <v>1</v>
      </c>
      <c r="AU196">
        <v>0</v>
      </c>
      <c r="AV196">
        <v>0</v>
      </c>
      <c r="AW196">
        <v>1</v>
      </c>
      <c r="AX196">
        <v>1</v>
      </c>
      <c r="AY196">
        <v>0</v>
      </c>
      <c r="AZ196">
        <v>0</v>
      </c>
      <c r="BA196">
        <v>0</v>
      </c>
      <c r="BB196">
        <v>5</v>
      </c>
      <c r="BC196">
        <v>19</v>
      </c>
      <c r="BD196">
        <v>7</v>
      </c>
      <c r="BE196">
        <v>4</v>
      </c>
      <c r="BF196">
        <v>2</v>
      </c>
      <c r="BG196">
        <v>1</v>
      </c>
      <c r="BH196">
        <v>1</v>
      </c>
      <c r="BI196">
        <v>4</v>
      </c>
      <c r="BJ196">
        <v>0</v>
      </c>
      <c r="BK196">
        <v>0</v>
      </c>
      <c r="BL196">
        <v>0</v>
      </c>
      <c r="BM196">
        <v>0</v>
      </c>
      <c r="BN196">
        <v>19</v>
      </c>
      <c r="BO196">
        <v>107</v>
      </c>
      <c r="BP196">
        <v>89</v>
      </c>
      <c r="BQ196">
        <v>4</v>
      </c>
      <c r="BR196">
        <v>7</v>
      </c>
      <c r="BS196">
        <v>2</v>
      </c>
      <c r="BT196">
        <v>0</v>
      </c>
      <c r="BU196">
        <v>3</v>
      </c>
      <c r="BV196">
        <v>0</v>
      </c>
      <c r="BW196">
        <v>0</v>
      </c>
      <c r="BX196">
        <v>0</v>
      </c>
      <c r="BY196">
        <v>2</v>
      </c>
      <c r="BZ196">
        <v>107</v>
      </c>
      <c r="CA196">
        <v>4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3</v>
      </c>
      <c r="CI196">
        <v>0</v>
      </c>
      <c r="CJ196">
        <v>1</v>
      </c>
      <c r="CK196">
        <v>0</v>
      </c>
      <c r="CL196">
        <v>4</v>
      </c>
      <c r="CM196">
        <v>12</v>
      </c>
      <c r="CN196">
        <v>2</v>
      </c>
      <c r="CO196">
        <v>1</v>
      </c>
      <c r="CP196">
        <v>0</v>
      </c>
      <c r="CQ196">
        <v>7</v>
      </c>
      <c r="CR196">
        <v>0</v>
      </c>
      <c r="CS196">
        <v>2</v>
      </c>
      <c r="CT196">
        <v>0</v>
      </c>
      <c r="CU196">
        <v>0</v>
      </c>
      <c r="CV196">
        <v>0</v>
      </c>
      <c r="CW196">
        <v>0</v>
      </c>
      <c r="CX196">
        <v>12</v>
      </c>
      <c r="CY196">
        <v>16</v>
      </c>
      <c r="CZ196">
        <v>13</v>
      </c>
      <c r="DA196">
        <v>1</v>
      </c>
      <c r="DB196">
        <v>1</v>
      </c>
      <c r="DC196">
        <v>0</v>
      </c>
      <c r="DD196">
        <v>0</v>
      </c>
      <c r="DE196">
        <v>0</v>
      </c>
      <c r="DF196">
        <v>0</v>
      </c>
      <c r="DG196">
        <v>1</v>
      </c>
      <c r="DH196">
        <v>0</v>
      </c>
      <c r="DI196">
        <v>0</v>
      </c>
      <c r="DJ196">
        <v>16</v>
      </c>
      <c r="DK196">
        <v>64</v>
      </c>
      <c r="DL196">
        <v>27</v>
      </c>
      <c r="DM196">
        <v>32</v>
      </c>
      <c r="DN196">
        <v>0</v>
      </c>
      <c r="DO196">
        <v>1</v>
      </c>
      <c r="DP196">
        <v>1</v>
      </c>
      <c r="DQ196">
        <v>0</v>
      </c>
      <c r="DR196">
        <v>1</v>
      </c>
      <c r="DS196">
        <v>1</v>
      </c>
      <c r="DT196">
        <v>0</v>
      </c>
      <c r="DU196">
        <v>1</v>
      </c>
      <c r="DV196">
        <v>64</v>
      </c>
      <c r="DW196">
        <v>12</v>
      </c>
      <c r="DX196">
        <v>0</v>
      </c>
      <c r="DY196">
        <v>2</v>
      </c>
      <c r="DZ196">
        <v>1</v>
      </c>
      <c r="EA196">
        <v>7</v>
      </c>
      <c r="EB196">
        <v>0</v>
      </c>
      <c r="EC196">
        <v>1</v>
      </c>
      <c r="ED196">
        <v>1</v>
      </c>
      <c r="EE196">
        <v>0</v>
      </c>
      <c r="EF196">
        <v>0</v>
      </c>
      <c r="EG196">
        <v>0</v>
      </c>
      <c r="EH196">
        <v>12</v>
      </c>
      <c r="EI196">
        <v>1</v>
      </c>
      <c r="EJ196">
        <v>0</v>
      </c>
      <c r="EK196">
        <v>1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1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</row>
    <row r="197" spans="1:172" ht="14.25">
      <c r="A197">
        <v>192</v>
      </c>
      <c r="B197" t="str">
        <f t="shared" si="36"/>
        <v>100509</v>
      </c>
      <c r="C197" t="str">
        <f t="shared" si="37"/>
        <v>Nieborów</v>
      </c>
      <c r="D197" t="str">
        <f t="shared" si="38"/>
        <v>Łowicki</v>
      </c>
      <c r="E197" t="str">
        <f t="shared" si="28"/>
        <v>łódzkie</v>
      </c>
      <c r="F197">
        <v>8</v>
      </c>
      <c r="G197" t="str">
        <f>"Gimnazjum Nr 2, Dzierzgówek 15, 99-418 Bełchów"</f>
        <v>Gimnazjum Nr 2, Dzierzgówek 15, 99-418 Bełchów</v>
      </c>
      <c r="H197">
        <v>359</v>
      </c>
      <c r="I197">
        <v>359</v>
      </c>
      <c r="J197">
        <v>0</v>
      </c>
      <c r="K197">
        <v>250</v>
      </c>
      <c r="L197">
        <v>193</v>
      </c>
      <c r="M197">
        <v>57</v>
      </c>
      <c r="N197">
        <v>57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57</v>
      </c>
      <c r="Z197">
        <v>0</v>
      </c>
      <c r="AA197">
        <v>0</v>
      </c>
      <c r="AB197">
        <v>57</v>
      </c>
      <c r="AC197">
        <v>3</v>
      </c>
      <c r="AD197">
        <v>54</v>
      </c>
      <c r="AE197">
        <v>2</v>
      </c>
      <c r="AF197">
        <v>0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0</v>
      </c>
      <c r="AP197">
        <v>2</v>
      </c>
      <c r="AQ197">
        <v>2</v>
      </c>
      <c r="AR197">
        <v>0</v>
      </c>
      <c r="AS197">
        <v>1</v>
      </c>
      <c r="AT197">
        <v>0</v>
      </c>
      <c r="AU197">
        <v>0</v>
      </c>
      <c r="AV197">
        <v>0</v>
      </c>
      <c r="AW197">
        <v>1</v>
      </c>
      <c r="AX197">
        <v>0</v>
      </c>
      <c r="AY197">
        <v>0</v>
      </c>
      <c r="AZ197">
        <v>0</v>
      </c>
      <c r="BA197">
        <v>0</v>
      </c>
      <c r="BB197">
        <v>2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27</v>
      </c>
      <c r="BP197">
        <v>22</v>
      </c>
      <c r="BQ197">
        <v>2</v>
      </c>
      <c r="BR197">
        <v>0</v>
      </c>
      <c r="BS197">
        <v>0</v>
      </c>
      <c r="BT197">
        <v>0</v>
      </c>
      <c r="BU197">
        <v>2</v>
      </c>
      <c r="BV197">
        <v>0</v>
      </c>
      <c r="BW197">
        <v>0</v>
      </c>
      <c r="BX197">
        <v>1</v>
      </c>
      <c r="BY197">
        <v>0</v>
      </c>
      <c r="BZ197">
        <v>27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1</v>
      </c>
      <c r="CN197">
        <v>0</v>
      </c>
      <c r="CO197">
        <v>0</v>
      </c>
      <c r="CP197">
        <v>0</v>
      </c>
      <c r="CQ197">
        <v>1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1</v>
      </c>
      <c r="CY197">
        <v>5</v>
      </c>
      <c r="CZ197">
        <v>3</v>
      </c>
      <c r="DA197">
        <v>0</v>
      </c>
      <c r="DB197">
        <v>0</v>
      </c>
      <c r="DC197">
        <v>1</v>
      </c>
      <c r="DD197">
        <v>0</v>
      </c>
      <c r="DE197">
        <v>0</v>
      </c>
      <c r="DF197">
        <v>0</v>
      </c>
      <c r="DG197">
        <v>0</v>
      </c>
      <c r="DH197">
        <v>1</v>
      </c>
      <c r="DI197">
        <v>0</v>
      </c>
      <c r="DJ197">
        <v>5</v>
      </c>
      <c r="DK197">
        <v>9</v>
      </c>
      <c r="DL197">
        <v>4</v>
      </c>
      <c r="DM197">
        <v>4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1</v>
      </c>
      <c r="DT197">
        <v>0</v>
      </c>
      <c r="DU197">
        <v>0</v>
      </c>
      <c r="DV197">
        <v>9</v>
      </c>
      <c r="DW197">
        <v>7</v>
      </c>
      <c r="DX197">
        <v>0</v>
      </c>
      <c r="DY197">
        <v>1</v>
      </c>
      <c r="DZ197">
        <v>0</v>
      </c>
      <c r="EA197">
        <v>5</v>
      </c>
      <c r="EB197">
        <v>0</v>
      </c>
      <c r="EC197">
        <v>1</v>
      </c>
      <c r="ED197">
        <v>0</v>
      </c>
      <c r="EE197">
        <v>0</v>
      </c>
      <c r="EF197">
        <v>0</v>
      </c>
      <c r="EG197">
        <v>0</v>
      </c>
      <c r="EH197">
        <v>7</v>
      </c>
      <c r="EI197">
        <v>1</v>
      </c>
      <c r="EJ197">
        <v>0</v>
      </c>
      <c r="EK197">
        <v>1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1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</row>
    <row r="198" spans="1:172" ht="14.25">
      <c r="A198">
        <v>193</v>
      </c>
      <c r="B198" t="str">
        <f>"100510"</f>
        <v>100510</v>
      </c>
      <c r="C198" t="str">
        <f>"Zduny"</f>
        <v>Zduny</v>
      </c>
      <c r="D198" t="str">
        <f t="shared" si="38"/>
        <v>Łowicki</v>
      </c>
      <c r="E198" t="str">
        <f aca="true" t="shared" si="39" ref="E198:E261">"łódzkie"</f>
        <v>łódzkie</v>
      </c>
      <c r="F198">
        <v>1</v>
      </c>
      <c r="G198" t="str">
        <f>"Biblioteka Publiczna i Dom Kultury Gminy Zduny, Zduny 1F, 99-440 Zduny"</f>
        <v>Biblioteka Publiczna i Dom Kultury Gminy Zduny, Zduny 1F, 99-440 Zduny</v>
      </c>
      <c r="H198">
        <v>1513</v>
      </c>
      <c r="I198">
        <v>1513</v>
      </c>
      <c r="J198">
        <v>0</v>
      </c>
      <c r="K198">
        <v>1060</v>
      </c>
      <c r="L198">
        <v>752</v>
      </c>
      <c r="M198">
        <v>308</v>
      </c>
      <c r="N198">
        <v>308</v>
      </c>
      <c r="O198">
        <v>0</v>
      </c>
      <c r="P198">
        <v>0</v>
      </c>
      <c r="Q198">
        <v>6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308</v>
      </c>
      <c r="Z198">
        <v>0</v>
      </c>
      <c r="AA198">
        <v>0</v>
      </c>
      <c r="AB198">
        <v>308</v>
      </c>
      <c r="AC198">
        <v>13</v>
      </c>
      <c r="AD198">
        <v>295</v>
      </c>
      <c r="AE198">
        <v>12</v>
      </c>
      <c r="AF198">
        <v>3</v>
      </c>
      <c r="AG198">
        <v>4</v>
      </c>
      <c r="AH198">
        <v>0</v>
      </c>
      <c r="AI198">
        <v>2</v>
      </c>
      <c r="AJ198">
        <v>0</v>
      </c>
      <c r="AK198">
        <v>1</v>
      </c>
      <c r="AL198">
        <v>1</v>
      </c>
      <c r="AM198">
        <v>1</v>
      </c>
      <c r="AN198">
        <v>0</v>
      </c>
      <c r="AO198">
        <v>0</v>
      </c>
      <c r="AP198">
        <v>12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33</v>
      </c>
      <c r="BD198">
        <v>21</v>
      </c>
      <c r="BE198">
        <v>0</v>
      </c>
      <c r="BF198">
        <v>0</v>
      </c>
      <c r="BG198">
        <v>2</v>
      </c>
      <c r="BH198">
        <v>1</v>
      </c>
      <c r="BI198">
        <v>2</v>
      </c>
      <c r="BJ198">
        <v>0</v>
      </c>
      <c r="BK198">
        <v>1</v>
      </c>
      <c r="BL198">
        <v>1</v>
      </c>
      <c r="BM198">
        <v>5</v>
      </c>
      <c r="BN198">
        <v>33</v>
      </c>
      <c r="BO198">
        <v>109</v>
      </c>
      <c r="BP198">
        <v>89</v>
      </c>
      <c r="BQ198">
        <v>5</v>
      </c>
      <c r="BR198">
        <v>3</v>
      </c>
      <c r="BS198">
        <v>3</v>
      </c>
      <c r="BT198">
        <v>0</v>
      </c>
      <c r="BU198">
        <v>7</v>
      </c>
      <c r="BV198">
        <v>1</v>
      </c>
      <c r="BW198">
        <v>0</v>
      </c>
      <c r="BX198">
        <v>0</v>
      </c>
      <c r="BY198">
        <v>1</v>
      </c>
      <c r="BZ198">
        <v>109</v>
      </c>
      <c r="CA198">
        <v>7</v>
      </c>
      <c r="CB198">
        <v>0</v>
      </c>
      <c r="CC198">
        <v>1</v>
      </c>
      <c r="CD198">
        <v>1</v>
      </c>
      <c r="CE198">
        <v>2</v>
      </c>
      <c r="CF198">
        <v>0</v>
      </c>
      <c r="CG198">
        <v>1</v>
      </c>
      <c r="CH198">
        <v>0</v>
      </c>
      <c r="CI198">
        <v>0</v>
      </c>
      <c r="CJ198">
        <v>2</v>
      </c>
      <c r="CK198">
        <v>0</v>
      </c>
      <c r="CL198">
        <v>7</v>
      </c>
      <c r="CM198">
        <v>11</v>
      </c>
      <c r="CN198">
        <v>4</v>
      </c>
      <c r="CO198">
        <v>0</v>
      </c>
      <c r="CP198">
        <v>0</v>
      </c>
      <c r="CQ198">
        <v>6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11</v>
      </c>
      <c r="CY198">
        <v>20</v>
      </c>
      <c r="CZ198">
        <v>18</v>
      </c>
      <c r="DA198">
        <v>2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20</v>
      </c>
      <c r="DK198">
        <v>36</v>
      </c>
      <c r="DL198">
        <v>28</v>
      </c>
      <c r="DM198">
        <v>6</v>
      </c>
      <c r="DN198">
        <v>0</v>
      </c>
      <c r="DO198">
        <v>1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1</v>
      </c>
      <c r="DV198">
        <v>36</v>
      </c>
      <c r="DW198">
        <v>63</v>
      </c>
      <c r="DX198">
        <v>3</v>
      </c>
      <c r="DY198">
        <v>5</v>
      </c>
      <c r="DZ198">
        <v>0</v>
      </c>
      <c r="EA198">
        <v>41</v>
      </c>
      <c r="EB198">
        <v>0</v>
      </c>
      <c r="EC198">
        <v>0</v>
      </c>
      <c r="ED198">
        <v>3</v>
      </c>
      <c r="EE198">
        <v>4</v>
      </c>
      <c r="EF198">
        <v>6</v>
      </c>
      <c r="EG198">
        <v>1</v>
      </c>
      <c r="EH198">
        <v>63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4</v>
      </c>
      <c r="FF198">
        <v>0</v>
      </c>
      <c r="FG198">
        <v>3</v>
      </c>
      <c r="FH198">
        <v>0</v>
      </c>
      <c r="FI198">
        <v>1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4</v>
      </c>
    </row>
    <row r="199" spans="1:172" ht="14.25">
      <c r="A199">
        <v>194</v>
      </c>
      <c r="B199" t="str">
        <f>"100510"</f>
        <v>100510</v>
      </c>
      <c r="C199" t="str">
        <f>"Zduny"</f>
        <v>Zduny</v>
      </c>
      <c r="D199" t="str">
        <f t="shared" si="38"/>
        <v>Łowicki</v>
      </c>
      <c r="E199" t="str">
        <f t="shared" si="39"/>
        <v>łódzkie</v>
      </c>
      <c r="F199">
        <v>2</v>
      </c>
      <c r="G199" t="str">
        <f>"Szkoła Podstawowa, Strugienice 38a, 99-440 Zduny"</f>
        <v>Szkoła Podstawowa, Strugienice 38a, 99-440 Zduny</v>
      </c>
      <c r="H199">
        <v>855</v>
      </c>
      <c r="I199">
        <v>855</v>
      </c>
      <c r="J199">
        <v>0</v>
      </c>
      <c r="K199">
        <v>610</v>
      </c>
      <c r="L199">
        <v>471</v>
      </c>
      <c r="M199">
        <v>139</v>
      </c>
      <c r="N199">
        <v>139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139</v>
      </c>
      <c r="Z199">
        <v>0</v>
      </c>
      <c r="AA199">
        <v>0</v>
      </c>
      <c r="AB199">
        <v>139</v>
      </c>
      <c r="AC199">
        <v>5</v>
      </c>
      <c r="AD199">
        <v>134</v>
      </c>
      <c r="AE199">
        <v>2</v>
      </c>
      <c r="AF199">
        <v>1</v>
      </c>
      <c r="AG199">
        <v>0</v>
      </c>
      <c r="AH199">
        <v>1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2</v>
      </c>
      <c r="AQ199">
        <v>3</v>
      </c>
      <c r="AR199">
        <v>1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1</v>
      </c>
      <c r="BB199">
        <v>3</v>
      </c>
      <c r="BC199">
        <v>5</v>
      </c>
      <c r="BD199">
        <v>5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5</v>
      </c>
      <c r="BO199">
        <v>44</v>
      </c>
      <c r="BP199">
        <v>38</v>
      </c>
      <c r="BQ199">
        <v>2</v>
      </c>
      <c r="BR199">
        <v>1</v>
      </c>
      <c r="BS199">
        <v>0</v>
      </c>
      <c r="BT199">
        <v>1</v>
      </c>
      <c r="BU199">
        <v>2</v>
      </c>
      <c r="BV199">
        <v>0</v>
      </c>
      <c r="BW199">
        <v>0</v>
      </c>
      <c r="BX199">
        <v>0</v>
      </c>
      <c r="BY199">
        <v>0</v>
      </c>
      <c r="BZ199">
        <v>44</v>
      </c>
      <c r="CA199">
        <v>1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1</v>
      </c>
      <c r="CL199">
        <v>1</v>
      </c>
      <c r="CM199">
        <v>3</v>
      </c>
      <c r="CN199">
        <v>0</v>
      </c>
      <c r="CO199">
        <v>0</v>
      </c>
      <c r="CP199">
        <v>0</v>
      </c>
      <c r="CQ199">
        <v>3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3</v>
      </c>
      <c r="CY199">
        <v>12</v>
      </c>
      <c r="CZ199">
        <v>12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12</v>
      </c>
      <c r="DK199">
        <v>14</v>
      </c>
      <c r="DL199">
        <v>12</v>
      </c>
      <c r="DM199">
        <v>2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14</v>
      </c>
      <c r="DW199">
        <v>49</v>
      </c>
      <c r="DX199">
        <v>3</v>
      </c>
      <c r="DY199">
        <v>6</v>
      </c>
      <c r="DZ199">
        <v>0</v>
      </c>
      <c r="EA199">
        <v>40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49</v>
      </c>
      <c r="EI199">
        <v>1</v>
      </c>
      <c r="EJ199">
        <v>0</v>
      </c>
      <c r="EK199">
        <v>1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1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</row>
    <row r="200" spans="1:172" ht="14.25">
      <c r="A200">
        <v>195</v>
      </c>
      <c r="B200" t="str">
        <f>"100510"</f>
        <v>100510</v>
      </c>
      <c r="C200" t="str">
        <f>"Zduny"</f>
        <v>Zduny</v>
      </c>
      <c r="D200" t="str">
        <f t="shared" si="38"/>
        <v>Łowicki</v>
      </c>
      <c r="E200" t="str">
        <f t="shared" si="39"/>
        <v>łódzkie</v>
      </c>
      <c r="F200">
        <v>3</v>
      </c>
      <c r="G200" t="str">
        <f>"Szkoła Podstawowa, Bąków Górny 123, 99-440 Zduny"</f>
        <v>Szkoła Podstawowa, Bąków Górny 123, 99-440 Zduny</v>
      </c>
      <c r="H200">
        <v>1413</v>
      </c>
      <c r="I200">
        <v>1413</v>
      </c>
      <c r="J200">
        <v>0</v>
      </c>
      <c r="K200">
        <v>1000</v>
      </c>
      <c r="L200">
        <v>748</v>
      </c>
      <c r="M200">
        <v>252</v>
      </c>
      <c r="N200">
        <v>252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252</v>
      </c>
      <c r="Z200">
        <v>0</v>
      </c>
      <c r="AA200">
        <v>0</v>
      </c>
      <c r="AB200">
        <v>252</v>
      </c>
      <c r="AC200">
        <v>12</v>
      </c>
      <c r="AD200">
        <v>240</v>
      </c>
      <c r="AE200">
        <v>4</v>
      </c>
      <c r="AF200">
        <v>1</v>
      </c>
      <c r="AG200">
        <v>0</v>
      </c>
      <c r="AH200">
        <v>0</v>
      </c>
      <c r="AI200">
        <v>0</v>
      </c>
      <c r="AJ200">
        <v>0</v>
      </c>
      <c r="AK200">
        <v>1</v>
      </c>
      <c r="AL200">
        <v>1</v>
      </c>
      <c r="AM200">
        <v>0</v>
      </c>
      <c r="AN200">
        <v>0</v>
      </c>
      <c r="AO200">
        <v>1</v>
      </c>
      <c r="AP200">
        <v>4</v>
      </c>
      <c r="AQ200">
        <v>1</v>
      </c>
      <c r="AR200">
        <v>0</v>
      </c>
      <c r="AS200">
        <v>0</v>
      </c>
      <c r="AT200">
        <v>0</v>
      </c>
      <c r="AU200">
        <v>1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1</v>
      </c>
      <c r="BC200">
        <v>7</v>
      </c>
      <c r="BD200">
        <v>4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1</v>
      </c>
      <c r="BK200">
        <v>0</v>
      </c>
      <c r="BL200">
        <v>0</v>
      </c>
      <c r="BM200">
        <v>2</v>
      </c>
      <c r="BN200">
        <v>7</v>
      </c>
      <c r="BO200">
        <v>93</v>
      </c>
      <c r="BP200">
        <v>88</v>
      </c>
      <c r="BQ200">
        <v>1</v>
      </c>
      <c r="BR200">
        <v>1</v>
      </c>
      <c r="BS200">
        <v>2</v>
      </c>
      <c r="BT200">
        <v>1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93</v>
      </c>
      <c r="CA200">
        <v>2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1</v>
      </c>
      <c r="CK200">
        <v>1</v>
      </c>
      <c r="CL200">
        <v>2</v>
      </c>
      <c r="CM200">
        <v>6</v>
      </c>
      <c r="CN200">
        <v>3</v>
      </c>
      <c r="CO200">
        <v>0</v>
      </c>
      <c r="CP200">
        <v>0</v>
      </c>
      <c r="CQ200">
        <v>3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6</v>
      </c>
      <c r="CY200">
        <v>23</v>
      </c>
      <c r="CZ200">
        <v>14</v>
      </c>
      <c r="DA200">
        <v>0</v>
      </c>
      <c r="DB200">
        <v>0</v>
      </c>
      <c r="DC200">
        <v>2</v>
      </c>
      <c r="DD200">
        <v>0</v>
      </c>
      <c r="DE200">
        <v>0</v>
      </c>
      <c r="DF200">
        <v>0</v>
      </c>
      <c r="DG200">
        <v>5</v>
      </c>
      <c r="DH200">
        <v>2</v>
      </c>
      <c r="DI200">
        <v>0</v>
      </c>
      <c r="DJ200">
        <v>23</v>
      </c>
      <c r="DK200">
        <v>21</v>
      </c>
      <c r="DL200">
        <v>17</v>
      </c>
      <c r="DM200">
        <v>3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1</v>
      </c>
      <c r="DT200">
        <v>0</v>
      </c>
      <c r="DU200">
        <v>0</v>
      </c>
      <c r="DV200">
        <v>21</v>
      </c>
      <c r="DW200">
        <v>81</v>
      </c>
      <c r="DX200">
        <v>4</v>
      </c>
      <c r="DY200">
        <v>7</v>
      </c>
      <c r="DZ200">
        <v>0</v>
      </c>
      <c r="EA200">
        <v>66</v>
      </c>
      <c r="EB200">
        <v>0</v>
      </c>
      <c r="EC200">
        <v>0</v>
      </c>
      <c r="ED200">
        <v>2</v>
      </c>
      <c r="EE200">
        <v>0</v>
      </c>
      <c r="EF200">
        <v>1</v>
      </c>
      <c r="EG200">
        <v>1</v>
      </c>
      <c r="EH200">
        <v>81</v>
      </c>
      <c r="EI200">
        <v>1</v>
      </c>
      <c r="EJ200">
        <v>0</v>
      </c>
      <c r="EK200">
        <v>1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1</v>
      </c>
      <c r="ES200">
        <v>1</v>
      </c>
      <c r="ET200">
        <v>0</v>
      </c>
      <c r="EU200">
        <v>0</v>
      </c>
      <c r="EV200">
        <v>0</v>
      </c>
      <c r="EW200">
        <v>0</v>
      </c>
      <c r="EX200">
        <v>1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1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</row>
    <row r="201" spans="1:172" ht="14.25">
      <c r="A201">
        <v>196</v>
      </c>
      <c r="B201" t="str">
        <f>"100510"</f>
        <v>100510</v>
      </c>
      <c r="C201" t="str">
        <f>"Zduny"</f>
        <v>Zduny</v>
      </c>
      <c r="D201" t="str">
        <f t="shared" si="38"/>
        <v>Łowicki</v>
      </c>
      <c r="E201" t="str">
        <f t="shared" si="39"/>
        <v>łódzkie</v>
      </c>
      <c r="F201">
        <v>4</v>
      </c>
      <c r="G201" t="str">
        <f>"Dom Ludowy, Złaków Kościelny 96, 99-440 Zduny"</f>
        <v>Dom Ludowy, Złaków Kościelny 96, 99-440 Zduny</v>
      </c>
      <c r="H201">
        <v>1111</v>
      </c>
      <c r="I201">
        <v>1111</v>
      </c>
      <c r="J201">
        <v>0</v>
      </c>
      <c r="K201">
        <v>780</v>
      </c>
      <c r="L201">
        <v>592</v>
      </c>
      <c r="M201">
        <v>188</v>
      </c>
      <c r="N201">
        <v>188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188</v>
      </c>
      <c r="Z201">
        <v>0</v>
      </c>
      <c r="AA201">
        <v>0</v>
      </c>
      <c r="AB201">
        <v>188</v>
      </c>
      <c r="AC201">
        <v>2</v>
      </c>
      <c r="AD201">
        <v>186</v>
      </c>
      <c r="AE201">
        <v>7</v>
      </c>
      <c r="AF201">
        <v>4</v>
      </c>
      <c r="AG201">
        <v>0</v>
      </c>
      <c r="AH201">
        <v>1</v>
      </c>
      <c r="AI201">
        <v>0</v>
      </c>
      <c r="AJ201">
        <v>1</v>
      </c>
      <c r="AK201">
        <v>0</v>
      </c>
      <c r="AL201">
        <v>1</v>
      </c>
      <c r="AM201">
        <v>0</v>
      </c>
      <c r="AN201">
        <v>0</v>
      </c>
      <c r="AO201">
        <v>0</v>
      </c>
      <c r="AP201">
        <v>7</v>
      </c>
      <c r="AQ201">
        <v>3</v>
      </c>
      <c r="AR201">
        <v>3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3</v>
      </c>
      <c r="BC201">
        <v>3</v>
      </c>
      <c r="BD201">
        <v>2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1</v>
      </c>
      <c r="BM201">
        <v>0</v>
      </c>
      <c r="BN201">
        <v>3</v>
      </c>
      <c r="BO201">
        <v>98</v>
      </c>
      <c r="BP201">
        <v>87</v>
      </c>
      <c r="BQ201">
        <v>0</v>
      </c>
      <c r="BR201">
        <v>2</v>
      </c>
      <c r="BS201">
        <v>3</v>
      </c>
      <c r="BT201">
        <v>0</v>
      </c>
      <c r="BU201">
        <v>6</v>
      </c>
      <c r="BV201">
        <v>0</v>
      </c>
      <c r="BW201">
        <v>0</v>
      </c>
      <c r="BX201">
        <v>0</v>
      </c>
      <c r="BY201">
        <v>0</v>
      </c>
      <c r="BZ201">
        <v>98</v>
      </c>
      <c r="CA201">
        <v>3</v>
      </c>
      <c r="CB201">
        <v>0</v>
      </c>
      <c r="CC201">
        <v>2</v>
      </c>
      <c r="CD201">
        <v>1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3</v>
      </c>
      <c r="CM201">
        <v>6</v>
      </c>
      <c r="CN201">
        <v>2</v>
      </c>
      <c r="CO201">
        <v>0</v>
      </c>
      <c r="CP201">
        <v>1</v>
      </c>
      <c r="CQ201">
        <v>3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6</v>
      </c>
      <c r="CY201">
        <v>6</v>
      </c>
      <c r="CZ201">
        <v>4</v>
      </c>
      <c r="DA201">
        <v>1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>
        <v>6</v>
      </c>
      <c r="DK201">
        <v>9</v>
      </c>
      <c r="DL201">
        <v>8</v>
      </c>
      <c r="DM201">
        <v>0</v>
      </c>
      <c r="DN201">
        <v>0</v>
      </c>
      <c r="DO201">
        <v>1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9</v>
      </c>
      <c r="DW201">
        <v>48</v>
      </c>
      <c r="DX201">
        <v>2</v>
      </c>
      <c r="DY201">
        <v>4</v>
      </c>
      <c r="DZ201">
        <v>0</v>
      </c>
      <c r="EA201">
        <v>40</v>
      </c>
      <c r="EB201">
        <v>1</v>
      </c>
      <c r="EC201">
        <v>0</v>
      </c>
      <c r="ED201">
        <v>0</v>
      </c>
      <c r="EE201">
        <v>0</v>
      </c>
      <c r="EF201">
        <v>1</v>
      </c>
      <c r="EG201">
        <v>0</v>
      </c>
      <c r="EH201">
        <v>48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2</v>
      </c>
      <c r="ET201">
        <v>1</v>
      </c>
      <c r="EU201">
        <v>0</v>
      </c>
      <c r="EV201">
        <v>0</v>
      </c>
      <c r="EW201">
        <v>1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2</v>
      </c>
      <c r="FE201">
        <v>1</v>
      </c>
      <c r="FF201">
        <v>1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1</v>
      </c>
    </row>
    <row r="202" spans="1:172" ht="14.25">
      <c r="A202">
        <v>197</v>
      </c>
      <c r="B202" t="str">
        <f aca="true" t="shared" si="40" ref="B202:B210">"101301"</f>
        <v>101301</v>
      </c>
      <c r="C202" t="str">
        <f aca="true" t="shared" si="41" ref="C202:C210">"m. Rawa Mazowiecka"</f>
        <v>m. Rawa Mazowiecka</v>
      </c>
      <c r="D202" t="str">
        <f aca="true" t="shared" si="42" ref="D202:D230">"Rawski"</f>
        <v>Rawski</v>
      </c>
      <c r="E202" t="str">
        <f t="shared" si="39"/>
        <v>łódzkie</v>
      </c>
      <c r="F202">
        <v>1</v>
      </c>
      <c r="G202" t="str">
        <f>"Szkoła Podstawowa nr 2 im. Marii Konopnickiej, ul. Miła 2, 96-200 Rawa Mazowiecka"</f>
        <v>Szkoła Podstawowa nr 2 im. Marii Konopnickiej, ul. Miła 2, 96-200 Rawa Mazowiecka</v>
      </c>
      <c r="H202">
        <v>1924</v>
      </c>
      <c r="I202">
        <v>1924</v>
      </c>
      <c r="J202">
        <v>0</v>
      </c>
      <c r="K202">
        <v>1350</v>
      </c>
      <c r="L202">
        <v>987</v>
      </c>
      <c r="M202">
        <v>363</v>
      </c>
      <c r="N202">
        <v>363</v>
      </c>
      <c r="O202">
        <v>0</v>
      </c>
      <c r="P202">
        <v>0</v>
      </c>
      <c r="Q202">
        <v>7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363</v>
      </c>
      <c r="Z202">
        <v>0</v>
      </c>
      <c r="AA202">
        <v>0</v>
      </c>
      <c r="AB202">
        <v>363</v>
      </c>
      <c r="AC202">
        <v>15</v>
      </c>
      <c r="AD202">
        <v>348</v>
      </c>
      <c r="AE202">
        <v>6</v>
      </c>
      <c r="AF202">
        <v>5</v>
      </c>
      <c r="AG202">
        <v>0</v>
      </c>
      <c r="AH202">
        <v>1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6</v>
      </c>
      <c r="AQ202">
        <v>6</v>
      </c>
      <c r="AR202">
        <v>4</v>
      </c>
      <c r="AS202">
        <v>0</v>
      </c>
      <c r="AT202">
        <v>0</v>
      </c>
      <c r="AU202">
        <v>0</v>
      </c>
      <c r="AV202">
        <v>1</v>
      </c>
      <c r="AW202">
        <v>0</v>
      </c>
      <c r="AX202">
        <v>0</v>
      </c>
      <c r="AY202">
        <v>0</v>
      </c>
      <c r="AZ202">
        <v>0</v>
      </c>
      <c r="BA202">
        <v>1</v>
      </c>
      <c r="BB202">
        <v>6</v>
      </c>
      <c r="BC202">
        <v>17</v>
      </c>
      <c r="BD202">
        <v>7</v>
      </c>
      <c r="BE202">
        <v>2</v>
      </c>
      <c r="BF202">
        <v>1</v>
      </c>
      <c r="BG202">
        <v>0</v>
      </c>
      <c r="BH202">
        <v>2</v>
      </c>
      <c r="BI202">
        <v>4</v>
      </c>
      <c r="BJ202">
        <v>0</v>
      </c>
      <c r="BK202">
        <v>0</v>
      </c>
      <c r="BL202">
        <v>0</v>
      </c>
      <c r="BM202">
        <v>1</v>
      </c>
      <c r="BN202">
        <v>17</v>
      </c>
      <c r="BO202">
        <v>163</v>
      </c>
      <c r="BP202">
        <v>153</v>
      </c>
      <c r="BQ202">
        <v>2</v>
      </c>
      <c r="BR202">
        <v>2</v>
      </c>
      <c r="BS202">
        <v>0</v>
      </c>
      <c r="BT202">
        <v>1</v>
      </c>
      <c r="BU202">
        <v>2</v>
      </c>
      <c r="BV202">
        <v>0</v>
      </c>
      <c r="BW202">
        <v>3</v>
      </c>
      <c r="BX202">
        <v>0</v>
      </c>
      <c r="BY202">
        <v>0</v>
      </c>
      <c r="BZ202">
        <v>163</v>
      </c>
      <c r="CA202">
        <v>4</v>
      </c>
      <c r="CB202">
        <v>3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1</v>
      </c>
      <c r="CJ202">
        <v>0</v>
      </c>
      <c r="CK202">
        <v>0</v>
      </c>
      <c r="CL202">
        <v>4</v>
      </c>
      <c r="CM202">
        <v>4</v>
      </c>
      <c r="CN202">
        <v>2</v>
      </c>
      <c r="CO202">
        <v>0</v>
      </c>
      <c r="CP202">
        <v>1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4</v>
      </c>
      <c r="CY202">
        <v>18</v>
      </c>
      <c r="CZ202">
        <v>12</v>
      </c>
      <c r="DA202">
        <v>1</v>
      </c>
      <c r="DB202">
        <v>2</v>
      </c>
      <c r="DC202">
        <v>1</v>
      </c>
      <c r="DD202">
        <v>0</v>
      </c>
      <c r="DE202">
        <v>1</v>
      </c>
      <c r="DF202">
        <v>1</v>
      </c>
      <c r="DG202">
        <v>0</v>
      </c>
      <c r="DH202">
        <v>0</v>
      </c>
      <c r="DI202">
        <v>0</v>
      </c>
      <c r="DJ202">
        <v>18</v>
      </c>
      <c r="DK202">
        <v>70</v>
      </c>
      <c r="DL202">
        <v>38</v>
      </c>
      <c r="DM202">
        <v>6</v>
      </c>
      <c r="DN202">
        <v>2</v>
      </c>
      <c r="DO202">
        <v>0</v>
      </c>
      <c r="DP202">
        <v>0</v>
      </c>
      <c r="DQ202">
        <v>1</v>
      </c>
      <c r="DR202">
        <v>0</v>
      </c>
      <c r="DS202">
        <v>23</v>
      </c>
      <c r="DT202">
        <v>0</v>
      </c>
      <c r="DU202">
        <v>0</v>
      </c>
      <c r="DV202">
        <v>70</v>
      </c>
      <c r="DW202">
        <v>53</v>
      </c>
      <c r="DX202">
        <v>3</v>
      </c>
      <c r="DY202">
        <v>2</v>
      </c>
      <c r="DZ202">
        <v>0</v>
      </c>
      <c r="EA202">
        <v>0</v>
      </c>
      <c r="EB202">
        <v>0</v>
      </c>
      <c r="EC202">
        <v>47</v>
      </c>
      <c r="ED202">
        <v>0</v>
      </c>
      <c r="EE202">
        <v>0</v>
      </c>
      <c r="EF202">
        <v>0</v>
      </c>
      <c r="EG202">
        <v>1</v>
      </c>
      <c r="EH202">
        <v>53</v>
      </c>
      <c r="EI202">
        <v>1</v>
      </c>
      <c r="EJ202">
        <v>0</v>
      </c>
      <c r="EK202">
        <v>1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1</v>
      </c>
      <c r="ES202">
        <v>2</v>
      </c>
      <c r="ET202">
        <v>0</v>
      </c>
      <c r="EU202">
        <v>2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2</v>
      </c>
      <c r="FE202">
        <v>4</v>
      </c>
      <c r="FF202">
        <v>1</v>
      </c>
      <c r="FG202">
        <v>1</v>
      </c>
      <c r="FH202">
        <v>1</v>
      </c>
      <c r="FI202">
        <v>1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4</v>
      </c>
    </row>
    <row r="203" spans="1:172" ht="14.25">
      <c r="A203">
        <v>198</v>
      </c>
      <c r="B203" t="str">
        <f t="shared" si="40"/>
        <v>101301</v>
      </c>
      <c r="C203" t="str">
        <f t="shared" si="41"/>
        <v>m. Rawa Mazowiecka</v>
      </c>
      <c r="D203" t="str">
        <f t="shared" si="42"/>
        <v>Rawski</v>
      </c>
      <c r="E203" t="str">
        <f t="shared" si="39"/>
        <v>łódzkie</v>
      </c>
      <c r="F203">
        <v>2</v>
      </c>
      <c r="G203" t="str">
        <f>"Zakład Gospodarki Odpadami Sp. z o.o. Aquarium, ul.Katowicka 20, 96-200 Rawa Mazowiecka"</f>
        <v>Zakład Gospodarki Odpadami Sp. z o.o. Aquarium, ul.Katowicka 20, 96-200 Rawa Mazowiecka</v>
      </c>
      <c r="H203">
        <v>1875</v>
      </c>
      <c r="I203">
        <v>1875</v>
      </c>
      <c r="J203">
        <v>0</v>
      </c>
      <c r="K203">
        <v>1320</v>
      </c>
      <c r="L203">
        <v>769</v>
      </c>
      <c r="M203">
        <v>551</v>
      </c>
      <c r="N203">
        <v>551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551</v>
      </c>
      <c r="Z203">
        <v>0</v>
      </c>
      <c r="AA203">
        <v>0</v>
      </c>
      <c r="AB203">
        <v>551</v>
      </c>
      <c r="AC203">
        <v>25</v>
      </c>
      <c r="AD203">
        <v>526</v>
      </c>
      <c r="AE203">
        <v>4</v>
      </c>
      <c r="AF203">
        <v>1</v>
      </c>
      <c r="AG203">
        <v>0</v>
      </c>
      <c r="AH203">
        <v>2</v>
      </c>
      <c r="AI203">
        <v>0</v>
      </c>
      <c r="AJ203">
        <v>0</v>
      </c>
      <c r="AK203">
        <v>0</v>
      </c>
      <c r="AL203">
        <v>1</v>
      </c>
      <c r="AM203">
        <v>0</v>
      </c>
      <c r="AN203">
        <v>0</v>
      </c>
      <c r="AO203">
        <v>0</v>
      </c>
      <c r="AP203">
        <v>4</v>
      </c>
      <c r="AQ203">
        <v>12</v>
      </c>
      <c r="AR203">
        <v>8</v>
      </c>
      <c r="AS203">
        <v>0</v>
      </c>
      <c r="AT203">
        <v>1</v>
      </c>
      <c r="AU203">
        <v>0</v>
      </c>
      <c r="AV203">
        <v>1</v>
      </c>
      <c r="AW203">
        <v>0</v>
      </c>
      <c r="AX203">
        <v>0</v>
      </c>
      <c r="AY203">
        <v>0</v>
      </c>
      <c r="AZ203">
        <v>1</v>
      </c>
      <c r="BA203">
        <v>1</v>
      </c>
      <c r="BB203">
        <v>12</v>
      </c>
      <c r="BC203">
        <v>29</v>
      </c>
      <c r="BD203">
        <v>16</v>
      </c>
      <c r="BE203">
        <v>2</v>
      </c>
      <c r="BF203">
        <v>1</v>
      </c>
      <c r="BG203">
        <v>2</v>
      </c>
      <c r="BH203">
        <v>1</v>
      </c>
      <c r="BI203">
        <v>0</v>
      </c>
      <c r="BJ203">
        <v>0</v>
      </c>
      <c r="BK203">
        <v>0</v>
      </c>
      <c r="BL203">
        <v>1</v>
      </c>
      <c r="BM203">
        <v>6</v>
      </c>
      <c r="BN203">
        <v>29</v>
      </c>
      <c r="BO203">
        <v>223</v>
      </c>
      <c r="BP203">
        <v>213</v>
      </c>
      <c r="BQ203">
        <v>1</v>
      </c>
      <c r="BR203">
        <v>3</v>
      </c>
      <c r="BS203">
        <v>0</v>
      </c>
      <c r="BT203">
        <v>1</v>
      </c>
      <c r="BU203">
        <v>4</v>
      </c>
      <c r="BV203">
        <v>0</v>
      </c>
      <c r="BW203">
        <v>0</v>
      </c>
      <c r="BX203">
        <v>0</v>
      </c>
      <c r="BY203">
        <v>1</v>
      </c>
      <c r="BZ203">
        <v>223</v>
      </c>
      <c r="CA203">
        <v>12</v>
      </c>
      <c r="CB203">
        <v>2</v>
      </c>
      <c r="CC203">
        <v>5</v>
      </c>
      <c r="CD203">
        <v>2</v>
      </c>
      <c r="CE203">
        <v>1</v>
      </c>
      <c r="CF203">
        <v>1</v>
      </c>
      <c r="CG203">
        <v>0</v>
      </c>
      <c r="CH203">
        <v>1</v>
      </c>
      <c r="CI203">
        <v>0</v>
      </c>
      <c r="CJ203">
        <v>0</v>
      </c>
      <c r="CK203">
        <v>0</v>
      </c>
      <c r="CL203">
        <v>12</v>
      </c>
      <c r="CM203">
        <v>16</v>
      </c>
      <c r="CN203">
        <v>9</v>
      </c>
      <c r="CO203">
        <v>2</v>
      </c>
      <c r="CP203">
        <v>0</v>
      </c>
      <c r="CQ203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4</v>
      </c>
      <c r="CX203">
        <v>16</v>
      </c>
      <c r="CY203">
        <v>29</v>
      </c>
      <c r="CZ203">
        <v>15</v>
      </c>
      <c r="DA203">
        <v>2</v>
      </c>
      <c r="DB203">
        <v>2</v>
      </c>
      <c r="DC203">
        <v>1</v>
      </c>
      <c r="DD203">
        <v>2</v>
      </c>
      <c r="DE203">
        <v>3</v>
      </c>
      <c r="DF203">
        <v>0</v>
      </c>
      <c r="DG203">
        <v>1</v>
      </c>
      <c r="DH203">
        <v>2</v>
      </c>
      <c r="DI203">
        <v>1</v>
      </c>
      <c r="DJ203">
        <v>29</v>
      </c>
      <c r="DK203">
        <v>123</v>
      </c>
      <c r="DL203">
        <v>57</v>
      </c>
      <c r="DM203">
        <v>22</v>
      </c>
      <c r="DN203">
        <v>6</v>
      </c>
      <c r="DO203">
        <v>1</v>
      </c>
      <c r="DP203">
        <v>0</v>
      </c>
      <c r="DQ203">
        <v>2</v>
      </c>
      <c r="DR203">
        <v>0</v>
      </c>
      <c r="DS203">
        <v>35</v>
      </c>
      <c r="DT203">
        <v>0</v>
      </c>
      <c r="DU203">
        <v>0</v>
      </c>
      <c r="DV203">
        <v>123</v>
      </c>
      <c r="DW203">
        <v>68</v>
      </c>
      <c r="DX203">
        <v>0</v>
      </c>
      <c r="DY203">
        <v>4</v>
      </c>
      <c r="DZ203">
        <v>0</v>
      </c>
      <c r="EA203">
        <v>0</v>
      </c>
      <c r="EB203">
        <v>0</v>
      </c>
      <c r="EC203">
        <v>63</v>
      </c>
      <c r="ED203">
        <v>1</v>
      </c>
      <c r="EE203">
        <v>0</v>
      </c>
      <c r="EF203">
        <v>0</v>
      </c>
      <c r="EG203">
        <v>0</v>
      </c>
      <c r="EH203">
        <v>68</v>
      </c>
      <c r="EI203">
        <v>5</v>
      </c>
      <c r="EJ203">
        <v>0</v>
      </c>
      <c r="EK203">
        <v>3</v>
      </c>
      <c r="EL203">
        <v>0</v>
      </c>
      <c r="EM203">
        <v>0</v>
      </c>
      <c r="EN203">
        <v>0</v>
      </c>
      <c r="EO203">
        <v>1</v>
      </c>
      <c r="EP203">
        <v>1</v>
      </c>
      <c r="EQ203">
        <v>0</v>
      </c>
      <c r="ER203">
        <v>5</v>
      </c>
      <c r="ES203">
        <v>3</v>
      </c>
      <c r="ET203">
        <v>0</v>
      </c>
      <c r="EU203">
        <v>3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3</v>
      </c>
      <c r="FE203">
        <v>2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2</v>
      </c>
      <c r="FM203">
        <v>0</v>
      </c>
      <c r="FN203">
        <v>0</v>
      </c>
      <c r="FO203">
        <v>0</v>
      </c>
      <c r="FP203">
        <v>2</v>
      </c>
    </row>
    <row r="204" spans="1:172" ht="14.25">
      <c r="A204">
        <v>199</v>
      </c>
      <c r="B204" t="str">
        <f t="shared" si="40"/>
        <v>101301</v>
      </c>
      <c r="C204" t="str">
        <f t="shared" si="41"/>
        <v>m. Rawa Mazowiecka</v>
      </c>
      <c r="D204" t="str">
        <f t="shared" si="42"/>
        <v>Rawski</v>
      </c>
      <c r="E204" t="str">
        <f t="shared" si="39"/>
        <v>łódzkie</v>
      </c>
      <c r="F204">
        <v>3</v>
      </c>
      <c r="G204" t="str">
        <f>"Szkoła Podstawowa nr 1 im. Tadeusza Kościuszki, ul. Kościuszki 19, 96-200 Rawa Mazowiecka"</f>
        <v>Szkoła Podstawowa nr 1 im. Tadeusza Kościuszki, ul. Kościuszki 19, 96-200 Rawa Mazowiecka</v>
      </c>
      <c r="H204">
        <v>1894</v>
      </c>
      <c r="I204">
        <v>1894</v>
      </c>
      <c r="J204">
        <v>0</v>
      </c>
      <c r="K204">
        <v>1333</v>
      </c>
      <c r="L204">
        <v>894</v>
      </c>
      <c r="M204">
        <v>439</v>
      </c>
      <c r="N204">
        <v>439</v>
      </c>
      <c r="O204">
        <v>0</v>
      </c>
      <c r="P204">
        <v>0</v>
      </c>
      <c r="Q204">
        <v>2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438</v>
      </c>
      <c r="Z204">
        <v>0</v>
      </c>
      <c r="AA204">
        <v>0</v>
      </c>
      <c r="AB204">
        <v>438</v>
      </c>
      <c r="AC204">
        <v>12</v>
      </c>
      <c r="AD204">
        <v>426</v>
      </c>
      <c r="AE204">
        <v>10</v>
      </c>
      <c r="AF204">
        <v>4</v>
      </c>
      <c r="AG204">
        <v>0</v>
      </c>
      <c r="AH204">
        <v>0</v>
      </c>
      <c r="AI204">
        <v>2</v>
      </c>
      <c r="AJ204">
        <v>1</v>
      </c>
      <c r="AK204">
        <v>0</v>
      </c>
      <c r="AL204">
        <v>0</v>
      </c>
      <c r="AM204">
        <v>1</v>
      </c>
      <c r="AN204">
        <v>0</v>
      </c>
      <c r="AO204">
        <v>2</v>
      </c>
      <c r="AP204">
        <v>10</v>
      </c>
      <c r="AQ204">
        <v>7</v>
      </c>
      <c r="AR204">
        <v>6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1</v>
      </c>
      <c r="AY204">
        <v>0</v>
      </c>
      <c r="AZ204">
        <v>0</v>
      </c>
      <c r="BA204">
        <v>0</v>
      </c>
      <c r="BB204">
        <v>7</v>
      </c>
      <c r="BC204">
        <v>21</v>
      </c>
      <c r="BD204">
        <v>11</v>
      </c>
      <c r="BE204">
        <v>2</v>
      </c>
      <c r="BF204">
        <v>1</v>
      </c>
      <c r="BG204">
        <v>1</v>
      </c>
      <c r="BH204">
        <v>0</v>
      </c>
      <c r="BI204">
        <v>2</v>
      </c>
      <c r="BJ204">
        <v>1</v>
      </c>
      <c r="BK204">
        <v>0</v>
      </c>
      <c r="BL204">
        <v>0</v>
      </c>
      <c r="BM204">
        <v>3</v>
      </c>
      <c r="BN204">
        <v>21</v>
      </c>
      <c r="BO204">
        <v>210</v>
      </c>
      <c r="BP204">
        <v>198</v>
      </c>
      <c r="BQ204">
        <v>5</v>
      </c>
      <c r="BR204">
        <v>4</v>
      </c>
      <c r="BS204">
        <v>0</v>
      </c>
      <c r="BT204">
        <v>0</v>
      </c>
      <c r="BU204">
        <v>2</v>
      </c>
      <c r="BV204">
        <v>0</v>
      </c>
      <c r="BW204">
        <v>0</v>
      </c>
      <c r="BX204">
        <v>0</v>
      </c>
      <c r="BY204">
        <v>1</v>
      </c>
      <c r="BZ204">
        <v>210</v>
      </c>
      <c r="CA204">
        <v>4</v>
      </c>
      <c r="CB204">
        <v>1</v>
      </c>
      <c r="CC204">
        <v>2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1</v>
      </c>
      <c r="CL204">
        <v>4</v>
      </c>
      <c r="CM204">
        <v>5</v>
      </c>
      <c r="CN204">
        <v>2</v>
      </c>
      <c r="CO204">
        <v>1</v>
      </c>
      <c r="CP204">
        <v>0</v>
      </c>
      <c r="CQ204">
        <v>2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5</v>
      </c>
      <c r="CY204">
        <v>20</v>
      </c>
      <c r="CZ204">
        <v>8</v>
      </c>
      <c r="DA204">
        <v>0</v>
      </c>
      <c r="DB204">
        <v>6</v>
      </c>
      <c r="DC204">
        <v>1</v>
      </c>
      <c r="DD204">
        <v>1</v>
      </c>
      <c r="DE204">
        <v>1</v>
      </c>
      <c r="DF204">
        <v>0</v>
      </c>
      <c r="DG204">
        <v>1</v>
      </c>
      <c r="DH204">
        <v>2</v>
      </c>
      <c r="DI204">
        <v>0</v>
      </c>
      <c r="DJ204">
        <v>20</v>
      </c>
      <c r="DK204">
        <v>102</v>
      </c>
      <c r="DL204">
        <v>46</v>
      </c>
      <c r="DM204">
        <v>7</v>
      </c>
      <c r="DN204">
        <v>4</v>
      </c>
      <c r="DO204">
        <v>0</v>
      </c>
      <c r="DP204">
        <v>2</v>
      </c>
      <c r="DQ204">
        <v>0</v>
      </c>
      <c r="DR204">
        <v>0</v>
      </c>
      <c r="DS204">
        <v>42</v>
      </c>
      <c r="DT204">
        <v>0</v>
      </c>
      <c r="DU204">
        <v>1</v>
      </c>
      <c r="DV204">
        <v>102</v>
      </c>
      <c r="DW204">
        <v>40</v>
      </c>
      <c r="DX204">
        <v>0</v>
      </c>
      <c r="DY204">
        <v>3</v>
      </c>
      <c r="DZ204">
        <v>0</v>
      </c>
      <c r="EA204">
        <v>0</v>
      </c>
      <c r="EB204">
        <v>0</v>
      </c>
      <c r="EC204">
        <v>37</v>
      </c>
      <c r="ED204">
        <v>0</v>
      </c>
      <c r="EE204">
        <v>0</v>
      </c>
      <c r="EF204">
        <v>0</v>
      </c>
      <c r="EG204">
        <v>0</v>
      </c>
      <c r="EH204">
        <v>40</v>
      </c>
      <c r="EI204">
        <v>2</v>
      </c>
      <c r="EJ204">
        <v>0</v>
      </c>
      <c r="EK204">
        <v>2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2</v>
      </c>
      <c r="ES204">
        <v>3</v>
      </c>
      <c r="ET204">
        <v>0</v>
      </c>
      <c r="EU204">
        <v>3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3</v>
      </c>
      <c r="FE204">
        <v>2</v>
      </c>
      <c r="FF204">
        <v>1</v>
      </c>
      <c r="FG204">
        <v>1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2</v>
      </c>
    </row>
    <row r="205" spans="1:172" ht="14.25">
      <c r="A205">
        <v>200</v>
      </c>
      <c r="B205" t="str">
        <f t="shared" si="40"/>
        <v>101301</v>
      </c>
      <c r="C205" t="str">
        <f t="shared" si="41"/>
        <v>m. Rawa Mazowiecka</v>
      </c>
      <c r="D205" t="str">
        <f t="shared" si="42"/>
        <v>Rawski</v>
      </c>
      <c r="E205" t="str">
        <f t="shared" si="39"/>
        <v>łódzkie</v>
      </c>
      <c r="F205">
        <v>4</v>
      </c>
      <c r="G205" t="s">
        <v>45</v>
      </c>
      <c r="H205">
        <v>1969</v>
      </c>
      <c r="I205">
        <v>1969</v>
      </c>
      <c r="J205">
        <v>0</v>
      </c>
      <c r="K205">
        <v>1390</v>
      </c>
      <c r="L205">
        <v>860</v>
      </c>
      <c r="M205">
        <v>530</v>
      </c>
      <c r="N205">
        <v>530</v>
      </c>
      <c r="O205">
        <v>0</v>
      </c>
      <c r="P205">
        <v>0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530</v>
      </c>
      <c r="Z205">
        <v>0</v>
      </c>
      <c r="AA205">
        <v>0</v>
      </c>
      <c r="AB205">
        <v>530</v>
      </c>
      <c r="AC205">
        <v>12</v>
      </c>
      <c r="AD205">
        <v>518</v>
      </c>
      <c r="AE205">
        <v>15</v>
      </c>
      <c r="AF205">
        <v>2</v>
      </c>
      <c r="AG205">
        <v>3</v>
      </c>
      <c r="AH205">
        <v>2</v>
      </c>
      <c r="AI205">
        <v>0</v>
      </c>
      <c r="AJ205">
        <v>4</v>
      </c>
      <c r="AK205">
        <v>0</v>
      </c>
      <c r="AL205">
        <v>1</v>
      </c>
      <c r="AM205">
        <v>1</v>
      </c>
      <c r="AN205">
        <v>1</v>
      </c>
      <c r="AO205">
        <v>1</v>
      </c>
      <c r="AP205">
        <v>15</v>
      </c>
      <c r="AQ205">
        <v>4</v>
      </c>
      <c r="AR205">
        <v>3</v>
      </c>
      <c r="AS205">
        <v>0</v>
      </c>
      <c r="AT205">
        <v>0</v>
      </c>
      <c r="AU205">
        <v>0</v>
      </c>
      <c r="AV205">
        <v>0</v>
      </c>
      <c r="AW205">
        <v>1</v>
      </c>
      <c r="AX205">
        <v>0</v>
      </c>
      <c r="AY205">
        <v>0</v>
      </c>
      <c r="AZ205">
        <v>0</v>
      </c>
      <c r="BA205">
        <v>0</v>
      </c>
      <c r="BB205">
        <v>4</v>
      </c>
      <c r="BC205">
        <v>38</v>
      </c>
      <c r="BD205">
        <v>16</v>
      </c>
      <c r="BE205">
        <v>5</v>
      </c>
      <c r="BF205">
        <v>1</v>
      </c>
      <c r="BG205">
        <v>1</v>
      </c>
      <c r="BH205">
        <v>0</v>
      </c>
      <c r="BI205">
        <v>4</v>
      </c>
      <c r="BJ205">
        <v>0</v>
      </c>
      <c r="BK205">
        <v>1</v>
      </c>
      <c r="BL205">
        <v>3</v>
      </c>
      <c r="BM205">
        <v>7</v>
      </c>
      <c r="BN205">
        <v>38</v>
      </c>
      <c r="BO205">
        <v>237</v>
      </c>
      <c r="BP205">
        <v>224</v>
      </c>
      <c r="BQ205">
        <v>2</v>
      </c>
      <c r="BR205">
        <v>4</v>
      </c>
      <c r="BS205">
        <v>2</v>
      </c>
      <c r="BT205">
        <v>0</v>
      </c>
      <c r="BU205">
        <v>3</v>
      </c>
      <c r="BV205">
        <v>0</v>
      </c>
      <c r="BW205">
        <v>1</v>
      </c>
      <c r="BX205">
        <v>1</v>
      </c>
      <c r="BY205">
        <v>0</v>
      </c>
      <c r="BZ205">
        <v>237</v>
      </c>
      <c r="CA205">
        <v>15</v>
      </c>
      <c r="CB205">
        <v>10</v>
      </c>
      <c r="CC205">
        <v>2</v>
      </c>
      <c r="CD205">
        <v>0</v>
      </c>
      <c r="CE205">
        <v>3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15</v>
      </c>
      <c r="CM205">
        <v>12</v>
      </c>
      <c r="CN205">
        <v>6</v>
      </c>
      <c r="CO205">
        <v>1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1</v>
      </c>
      <c r="CV205">
        <v>0</v>
      </c>
      <c r="CW205">
        <v>3</v>
      </c>
      <c r="CX205">
        <v>12</v>
      </c>
      <c r="CY205">
        <v>19</v>
      </c>
      <c r="CZ205">
        <v>8</v>
      </c>
      <c r="DA205">
        <v>1</v>
      </c>
      <c r="DB205">
        <v>2</v>
      </c>
      <c r="DC205">
        <v>2</v>
      </c>
      <c r="DD205">
        <v>0</v>
      </c>
      <c r="DE205">
        <v>0</v>
      </c>
      <c r="DF205">
        <v>1</v>
      </c>
      <c r="DG205">
        <v>2</v>
      </c>
      <c r="DH205">
        <v>0</v>
      </c>
      <c r="DI205">
        <v>3</v>
      </c>
      <c r="DJ205">
        <v>19</v>
      </c>
      <c r="DK205">
        <v>117</v>
      </c>
      <c r="DL205">
        <v>59</v>
      </c>
      <c r="DM205">
        <v>9</v>
      </c>
      <c r="DN205">
        <v>0</v>
      </c>
      <c r="DO205">
        <v>0</v>
      </c>
      <c r="DP205">
        <v>0</v>
      </c>
      <c r="DQ205">
        <v>1</v>
      </c>
      <c r="DR205">
        <v>0</v>
      </c>
      <c r="DS205">
        <v>46</v>
      </c>
      <c r="DT205">
        <v>2</v>
      </c>
      <c r="DU205">
        <v>0</v>
      </c>
      <c r="DV205">
        <v>117</v>
      </c>
      <c r="DW205">
        <v>53</v>
      </c>
      <c r="DX205">
        <v>2</v>
      </c>
      <c r="DY205">
        <v>4</v>
      </c>
      <c r="DZ205">
        <v>1</v>
      </c>
      <c r="EA205">
        <v>1</v>
      </c>
      <c r="EB205">
        <v>0</v>
      </c>
      <c r="EC205">
        <v>44</v>
      </c>
      <c r="ED205">
        <v>1</v>
      </c>
      <c r="EE205">
        <v>0</v>
      </c>
      <c r="EF205">
        <v>0</v>
      </c>
      <c r="EG205">
        <v>0</v>
      </c>
      <c r="EH205">
        <v>53</v>
      </c>
      <c r="EI205">
        <v>2</v>
      </c>
      <c r="EJ205">
        <v>0</v>
      </c>
      <c r="EK205">
        <v>2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2</v>
      </c>
      <c r="ES205">
        <v>5</v>
      </c>
      <c r="ET205">
        <v>2</v>
      </c>
      <c r="EU205">
        <v>3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5</v>
      </c>
      <c r="FE205">
        <v>1</v>
      </c>
      <c r="FF205">
        <v>1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1</v>
      </c>
    </row>
    <row r="206" spans="1:172" ht="14.25">
      <c r="A206">
        <v>201</v>
      </c>
      <c r="B206" t="str">
        <f t="shared" si="40"/>
        <v>101301</v>
      </c>
      <c r="C206" t="str">
        <f t="shared" si="41"/>
        <v>m. Rawa Mazowiecka</v>
      </c>
      <c r="D206" t="str">
        <f t="shared" si="42"/>
        <v>Rawski</v>
      </c>
      <c r="E206" t="str">
        <f t="shared" si="39"/>
        <v>łódzkie</v>
      </c>
      <c r="F206">
        <v>5</v>
      </c>
      <c r="G206" t="str">
        <f>"Gimnazjum nr 1 im. Polskich Noblistów, ul. Kościuszki 19, 96-200 Rawa Mazowiecka"</f>
        <v>Gimnazjum nr 1 im. Polskich Noblistów, ul. Kościuszki 19, 96-200 Rawa Mazowiecka</v>
      </c>
      <c r="H206">
        <v>1967</v>
      </c>
      <c r="I206">
        <v>1967</v>
      </c>
      <c r="J206">
        <v>0</v>
      </c>
      <c r="K206">
        <v>1390</v>
      </c>
      <c r="L206">
        <v>867</v>
      </c>
      <c r="M206">
        <v>523</v>
      </c>
      <c r="N206">
        <v>523</v>
      </c>
      <c r="O206">
        <v>0</v>
      </c>
      <c r="P206">
        <v>0</v>
      </c>
      <c r="Q206">
        <v>1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523</v>
      </c>
      <c r="Z206">
        <v>0</v>
      </c>
      <c r="AA206">
        <v>0</v>
      </c>
      <c r="AB206">
        <v>523</v>
      </c>
      <c r="AC206">
        <v>22</v>
      </c>
      <c r="AD206">
        <v>501</v>
      </c>
      <c r="AE206">
        <v>8</v>
      </c>
      <c r="AF206">
        <v>3</v>
      </c>
      <c r="AG206">
        <v>1</v>
      </c>
      <c r="AH206">
        <v>0</v>
      </c>
      <c r="AI206">
        <v>0</v>
      </c>
      <c r="AJ206">
        <v>0</v>
      </c>
      <c r="AK206">
        <v>1</v>
      </c>
      <c r="AL206">
        <v>2</v>
      </c>
      <c r="AM206">
        <v>0</v>
      </c>
      <c r="AN206">
        <v>0</v>
      </c>
      <c r="AO206">
        <v>1</v>
      </c>
      <c r="AP206">
        <v>8</v>
      </c>
      <c r="AQ206">
        <v>11</v>
      </c>
      <c r="AR206">
        <v>3</v>
      </c>
      <c r="AS206">
        <v>0</v>
      </c>
      <c r="AT206">
        <v>6</v>
      </c>
      <c r="AU206">
        <v>0</v>
      </c>
      <c r="AV206">
        <v>1</v>
      </c>
      <c r="AW206">
        <v>0</v>
      </c>
      <c r="AX206">
        <v>1</v>
      </c>
      <c r="AY206">
        <v>0</v>
      </c>
      <c r="AZ206">
        <v>0</v>
      </c>
      <c r="BA206">
        <v>0</v>
      </c>
      <c r="BB206">
        <v>11</v>
      </c>
      <c r="BC206">
        <v>28</v>
      </c>
      <c r="BD206">
        <v>8</v>
      </c>
      <c r="BE206">
        <v>8</v>
      </c>
      <c r="BF206">
        <v>2</v>
      </c>
      <c r="BG206">
        <v>2</v>
      </c>
      <c r="BH206">
        <v>1</v>
      </c>
      <c r="BI206">
        <v>3</v>
      </c>
      <c r="BJ206">
        <v>3</v>
      </c>
      <c r="BK206">
        <v>0</v>
      </c>
      <c r="BL206">
        <v>0</v>
      </c>
      <c r="BM206">
        <v>1</v>
      </c>
      <c r="BN206">
        <v>28</v>
      </c>
      <c r="BO206">
        <v>220</v>
      </c>
      <c r="BP206">
        <v>203</v>
      </c>
      <c r="BQ206">
        <v>5</v>
      </c>
      <c r="BR206">
        <v>11</v>
      </c>
      <c r="BS206">
        <v>0</v>
      </c>
      <c r="BT206">
        <v>0</v>
      </c>
      <c r="BU206">
        <v>1</v>
      </c>
      <c r="BV206">
        <v>0</v>
      </c>
      <c r="BW206">
        <v>0</v>
      </c>
      <c r="BX206">
        <v>0</v>
      </c>
      <c r="BY206">
        <v>0</v>
      </c>
      <c r="BZ206">
        <v>220</v>
      </c>
      <c r="CA206">
        <v>6</v>
      </c>
      <c r="CB206">
        <v>2</v>
      </c>
      <c r="CC206">
        <v>2</v>
      </c>
      <c r="CD206">
        <v>1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1</v>
      </c>
      <c r="CK206">
        <v>0</v>
      </c>
      <c r="CL206">
        <v>6</v>
      </c>
      <c r="CM206">
        <v>6</v>
      </c>
      <c r="CN206">
        <v>3</v>
      </c>
      <c r="CO206">
        <v>0</v>
      </c>
      <c r="CP206">
        <v>1</v>
      </c>
      <c r="CQ206">
        <v>2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6</v>
      </c>
      <c r="CY206">
        <v>29</v>
      </c>
      <c r="CZ206">
        <v>17</v>
      </c>
      <c r="DA206">
        <v>2</v>
      </c>
      <c r="DB206">
        <v>3</v>
      </c>
      <c r="DC206">
        <v>0</v>
      </c>
      <c r="DD206">
        <v>0</v>
      </c>
      <c r="DE206">
        <v>1</v>
      </c>
      <c r="DF206">
        <v>0</v>
      </c>
      <c r="DG206">
        <v>2</v>
      </c>
      <c r="DH206">
        <v>3</v>
      </c>
      <c r="DI206">
        <v>1</v>
      </c>
      <c r="DJ206">
        <v>29</v>
      </c>
      <c r="DK206">
        <v>141</v>
      </c>
      <c r="DL206">
        <v>78</v>
      </c>
      <c r="DM206">
        <v>7</v>
      </c>
      <c r="DN206">
        <v>1</v>
      </c>
      <c r="DO206">
        <v>0</v>
      </c>
      <c r="DP206">
        <v>0</v>
      </c>
      <c r="DQ206">
        <v>0</v>
      </c>
      <c r="DR206">
        <v>0</v>
      </c>
      <c r="DS206">
        <v>53</v>
      </c>
      <c r="DT206">
        <v>1</v>
      </c>
      <c r="DU206">
        <v>1</v>
      </c>
      <c r="DV206">
        <v>141</v>
      </c>
      <c r="DW206">
        <v>48</v>
      </c>
      <c r="DX206">
        <v>3</v>
      </c>
      <c r="DY206">
        <v>1</v>
      </c>
      <c r="DZ206">
        <v>0</v>
      </c>
      <c r="EA206">
        <v>0</v>
      </c>
      <c r="EB206">
        <v>0</v>
      </c>
      <c r="EC206">
        <v>44</v>
      </c>
      <c r="ED206">
        <v>0</v>
      </c>
      <c r="EE206">
        <v>0</v>
      </c>
      <c r="EF206">
        <v>0</v>
      </c>
      <c r="EG206">
        <v>0</v>
      </c>
      <c r="EH206">
        <v>48</v>
      </c>
      <c r="EI206">
        <v>1</v>
      </c>
      <c r="EJ206">
        <v>1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1</v>
      </c>
      <c r="ES206">
        <v>1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1</v>
      </c>
      <c r="FC206">
        <v>0</v>
      </c>
      <c r="FD206">
        <v>1</v>
      </c>
      <c r="FE206">
        <v>2</v>
      </c>
      <c r="FF206">
        <v>0</v>
      </c>
      <c r="FG206">
        <v>2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2</v>
      </c>
    </row>
    <row r="207" spans="1:172" ht="14.25">
      <c r="A207">
        <v>202</v>
      </c>
      <c r="B207" t="str">
        <f t="shared" si="40"/>
        <v>101301</v>
      </c>
      <c r="C207" t="str">
        <f t="shared" si="41"/>
        <v>m. Rawa Mazowiecka</v>
      </c>
      <c r="D207" t="str">
        <f t="shared" si="42"/>
        <v>Rawski</v>
      </c>
      <c r="E207" t="str">
        <f t="shared" si="39"/>
        <v>łódzkie</v>
      </c>
      <c r="F207">
        <v>6</v>
      </c>
      <c r="G207" t="str">
        <f>"Miejski Dom Kultury, ul.Krakowska 6c, 96-200 Rawa Mazowiecka"</f>
        <v>Miejski Dom Kultury, ul.Krakowska 6c, 96-200 Rawa Mazowiecka</v>
      </c>
      <c r="H207">
        <v>1017</v>
      </c>
      <c r="I207">
        <v>1017</v>
      </c>
      <c r="J207">
        <v>0</v>
      </c>
      <c r="K207">
        <v>710</v>
      </c>
      <c r="L207">
        <v>361</v>
      </c>
      <c r="M207">
        <v>349</v>
      </c>
      <c r="N207">
        <v>349</v>
      </c>
      <c r="O207">
        <v>0</v>
      </c>
      <c r="P207">
        <v>1</v>
      </c>
      <c r="Q207">
        <v>3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349</v>
      </c>
      <c r="Z207">
        <v>0</v>
      </c>
      <c r="AA207">
        <v>0</v>
      </c>
      <c r="AB207">
        <v>349</v>
      </c>
      <c r="AC207">
        <v>15</v>
      </c>
      <c r="AD207">
        <v>334</v>
      </c>
      <c r="AE207">
        <v>5</v>
      </c>
      <c r="AF207">
        <v>3</v>
      </c>
      <c r="AG207">
        <v>0</v>
      </c>
      <c r="AH207">
        <v>1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5</v>
      </c>
      <c r="AQ207">
        <v>3</v>
      </c>
      <c r="AR207">
        <v>2</v>
      </c>
      <c r="AS207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3</v>
      </c>
      <c r="BC207">
        <v>18</v>
      </c>
      <c r="BD207">
        <v>9</v>
      </c>
      <c r="BE207">
        <v>6</v>
      </c>
      <c r="BF207">
        <v>2</v>
      </c>
      <c r="BG207">
        <v>0</v>
      </c>
      <c r="BH207">
        <v>0</v>
      </c>
      <c r="BI207">
        <v>1</v>
      </c>
      <c r="BJ207">
        <v>0</v>
      </c>
      <c r="BK207">
        <v>0</v>
      </c>
      <c r="BL207">
        <v>0</v>
      </c>
      <c r="BM207">
        <v>0</v>
      </c>
      <c r="BN207">
        <v>18</v>
      </c>
      <c r="BO207">
        <v>175</v>
      </c>
      <c r="BP207">
        <v>162</v>
      </c>
      <c r="BQ207">
        <v>4</v>
      </c>
      <c r="BR207">
        <v>6</v>
      </c>
      <c r="BS207">
        <v>1</v>
      </c>
      <c r="BT207">
        <v>1</v>
      </c>
      <c r="BU207">
        <v>0</v>
      </c>
      <c r="BV207">
        <v>0</v>
      </c>
      <c r="BW207">
        <v>0</v>
      </c>
      <c r="BX207">
        <v>0</v>
      </c>
      <c r="BY207">
        <v>1</v>
      </c>
      <c r="BZ207">
        <v>175</v>
      </c>
      <c r="CA207">
        <v>3</v>
      </c>
      <c r="CB207">
        <v>2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1</v>
      </c>
      <c r="CL207">
        <v>3</v>
      </c>
      <c r="CM207">
        <v>5</v>
      </c>
      <c r="CN207">
        <v>4</v>
      </c>
      <c r="CO207">
        <v>0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5</v>
      </c>
      <c r="CY207">
        <v>20</v>
      </c>
      <c r="CZ207">
        <v>13</v>
      </c>
      <c r="DA207">
        <v>1</v>
      </c>
      <c r="DB207">
        <v>0</v>
      </c>
      <c r="DC207">
        <v>0</v>
      </c>
      <c r="DD207">
        <v>0</v>
      </c>
      <c r="DE207">
        <v>0</v>
      </c>
      <c r="DF207">
        <v>1</v>
      </c>
      <c r="DG207">
        <v>1</v>
      </c>
      <c r="DH207">
        <v>2</v>
      </c>
      <c r="DI207">
        <v>2</v>
      </c>
      <c r="DJ207">
        <v>20</v>
      </c>
      <c r="DK207">
        <v>73</v>
      </c>
      <c r="DL207">
        <v>43</v>
      </c>
      <c r="DM207">
        <v>4</v>
      </c>
      <c r="DN207">
        <v>0</v>
      </c>
      <c r="DO207">
        <v>1</v>
      </c>
      <c r="DP207">
        <v>0</v>
      </c>
      <c r="DQ207">
        <v>3</v>
      </c>
      <c r="DR207">
        <v>0</v>
      </c>
      <c r="DS207">
        <v>22</v>
      </c>
      <c r="DT207">
        <v>0</v>
      </c>
      <c r="DU207">
        <v>0</v>
      </c>
      <c r="DV207">
        <v>73</v>
      </c>
      <c r="DW207">
        <v>29</v>
      </c>
      <c r="DX207">
        <v>1</v>
      </c>
      <c r="DY207">
        <v>1</v>
      </c>
      <c r="DZ207">
        <v>0</v>
      </c>
      <c r="EA207">
        <v>0</v>
      </c>
      <c r="EB207">
        <v>0</v>
      </c>
      <c r="EC207">
        <v>27</v>
      </c>
      <c r="ED207">
        <v>0</v>
      </c>
      <c r="EE207">
        <v>0</v>
      </c>
      <c r="EF207">
        <v>0</v>
      </c>
      <c r="EG207">
        <v>0</v>
      </c>
      <c r="EH207">
        <v>29</v>
      </c>
      <c r="EI207">
        <v>3</v>
      </c>
      <c r="EJ207">
        <v>0</v>
      </c>
      <c r="EK207">
        <v>3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3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</row>
    <row r="208" spans="1:172" ht="14.25">
      <c r="A208">
        <v>203</v>
      </c>
      <c r="B208" t="str">
        <f t="shared" si="40"/>
        <v>101301</v>
      </c>
      <c r="C208" t="str">
        <f t="shared" si="41"/>
        <v>m. Rawa Mazowiecka</v>
      </c>
      <c r="D208" t="str">
        <f t="shared" si="42"/>
        <v>Rawski</v>
      </c>
      <c r="E208" t="str">
        <f t="shared" si="39"/>
        <v>łódzkie</v>
      </c>
      <c r="F208">
        <v>7</v>
      </c>
      <c r="G208" t="str">
        <f>"Gimnazjum Nr 2 im. Haliny Konopackiej, ul. Kazimierza Wielkiego 28, 96-200 Rawa Mazowiecka"</f>
        <v>Gimnazjum Nr 2 im. Haliny Konopackiej, ul. Kazimierza Wielkiego 28, 96-200 Rawa Mazowiecka</v>
      </c>
      <c r="H208">
        <v>1967</v>
      </c>
      <c r="I208">
        <v>1967</v>
      </c>
      <c r="J208">
        <v>0</v>
      </c>
      <c r="K208">
        <v>1380</v>
      </c>
      <c r="L208">
        <v>956</v>
      </c>
      <c r="M208">
        <v>424</v>
      </c>
      <c r="N208">
        <v>424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424</v>
      </c>
      <c r="Z208">
        <v>0</v>
      </c>
      <c r="AA208">
        <v>0</v>
      </c>
      <c r="AB208">
        <v>424</v>
      </c>
      <c r="AC208">
        <v>14</v>
      </c>
      <c r="AD208">
        <v>410</v>
      </c>
      <c r="AE208">
        <v>7</v>
      </c>
      <c r="AF208">
        <v>2</v>
      </c>
      <c r="AG208">
        <v>0</v>
      </c>
      <c r="AH208">
        <v>1</v>
      </c>
      <c r="AI208">
        <v>0</v>
      </c>
      <c r="AJ208">
        <v>3</v>
      </c>
      <c r="AK208">
        <v>0</v>
      </c>
      <c r="AL208">
        <v>1</v>
      </c>
      <c r="AM208">
        <v>0</v>
      </c>
      <c r="AN208">
        <v>0</v>
      </c>
      <c r="AO208">
        <v>0</v>
      </c>
      <c r="AP208">
        <v>7</v>
      </c>
      <c r="AQ208">
        <v>9</v>
      </c>
      <c r="AR208">
        <v>6</v>
      </c>
      <c r="AS208">
        <v>1</v>
      </c>
      <c r="AT208">
        <v>0</v>
      </c>
      <c r="AU208">
        <v>0</v>
      </c>
      <c r="AV208">
        <v>1</v>
      </c>
      <c r="AW208">
        <v>1</v>
      </c>
      <c r="AX208">
        <v>0</v>
      </c>
      <c r="AY208">
        <v>0</v>
      </c>
      <c r="AZ208">
        <v>0</v>
      </c>
      <c r="BA208">
        <v>0</v>
      </c>
      <c r="BB208">
        <v>9</v>
      </c>
      <c r="BC208">
        <v>29</v>
      </c>
      <c r="BD208">
        <v>15</v>
      </c>
      <c r="BE208">
        <v>2</v>
      </c>
      <c r="BF208">
        <v>3</v>
      </c>
      <c r="BG208">
        <v>1</v>
      </c>
      <c r="BH208">
        <v>1</v>
      </c>
      <c r="BI208">
        <v>5</v>
      </c>
      <c r="BJ208">
        <v>0</v>
      </c>
      <c r="BK208">
        <v>0</v>
      </c>
      <c r="BL208">
        <v>0</v>
      </c>
      <c r="BM208">
        <v>2</v>
      </c>
      <c r="BN208">
        <v>29</v>
      </c>
      <c r="BO208">
        <v>188</v>
      </c>
      <c r="BP208">
        <v>167</v>
      </c>
      <c r="BQ208">
        <v>2</v>
      </c>
      <c r="BR208">
        <v>8</v>
      </c>
      <c r="BS208">
        <v>1</v>
      </c>
      <c r="BT208">
        <v>2</v>
      </c>
      <c r="BU208">
        <v>2</v>
      </c>
      <c r="BV208">
        <v>0</v>
      </c>
      <c r="BW208">
        <v>4</v>
      </c>
      <c r="BX208">
        <v>0</v>
      </c>
      <c r="BY208">
        <v>2</v>
      </c>
      <c r="BZ208">
        <v>188</v>
      </c>
      <c r="CA208">
        <v>1</v>
      </c>
      <c r="CB208">
        <v>1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1</v>
      </c>
      <c r="CM208">
        <v>10</v>
      </c>
      <c r="CN208">
        <v>8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1</v>
      </c>
      <c r="CV208">
        <v>0</v>
      </c>
      <c r="CW208">
        <v>1</v>
      </c>
      <c r="CX208">
        <v>10</v>
      </c>
      <c r="CY208">
        <v>23</v>
      </c>
      <c r="CZ208">
        <v>18</v>
      </c>
      <c r="DA208">
        <v>1</v>
      </c>
      <c r="DB208">
        <v>0</v>
      </c>
      <c r="DC208">
        <v>2</v>
      </c>
      <c r="DD208">
        <v>0</v>
      </c>
      <c r="DE208">
        <v>0</v>
      </c>
      <c r="DF208">
        <v>0</v>
      </c>
      <c r="DG208">
        <v>1</v>
      </c>
      <c r="DH208">
        <v>0</v>
      </c>
      <c r="DI208">
        <v>1</v>
      </c>
      <c r="DJ208">
        <v>23</v>
      </c>
      <c r="DK208">
        <v>82</v>
      </c>
      <c r="DL208">
        <v>50</v>
      </c>
      <c r="DM208">
        <v>10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20</v>
      </c>
      <c r="DT208">
        <v>2</v>
      </c>
      <c r="DU208">
        <v>0</v>
      </c>
      <c r="DV208">
        <v>82</v>
      </c>
      <c r="DW208">
        <v>56</v>
      </c>
      <c r="DX208">
        <v>0</v>
      </c>
      <c r="DY208">
        <v>0</v>
      </c>
      <c r="DZ208">
        <v>3</v>
      </c>
      <c r="EA208">
        <v>0</v>
      </c>
      <c r="EB208">
        <v>2</v>
      </c>
      <c r="EC208">
        <v>51</v>
      </c>
      <c r="ED208">
        <v>0</v>
      </c>
      <c r="EE208">
        <v>0</v>
      </c>
      <c r="EF208">
        <v>0</v>
      </c>
      <c r="EG208">
        <v>0</v>
      </c>
      <c r="EH208">
        <v>56</v>
      </c>
      <c r="EI208">
        <v>1</v>
      </c>
      <c r="EJ208">
        <v>0</v>
      </c>
      <c r="EK208">
        <v>1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1</v>
      </c>
      <c r="ES208">
        <v>3</v>
      </c>
      <c r="ET208">
        <v>0</v>
      </c>
      <c r="EU208">
        <v>3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3</v>
      </c>
      <c r="FE208">
        <v>1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1</v>
      </c>
      <c r="FN208">
        <v>0</v>
      </c>
      <c r="FO208">
        <v>0</v>
      </c>
      <c r="FP208">
        <v>1</v>
      </c>
    </row>
    <row r="209" spans="1:172" ht="14.25">
      <c r="A209">
        <v>204</v>
      </c>
      <c r="B209" t="str">
        <f t="shared" si="40"/>
        <v>101301</v>
      </c>
      <c r="C209" t="str">
        <f t="shared" si="41"/>
        <v>m. Rawa Mazowiecka</v>
      </c>
      <c r="D209" t="str">
        <f t="shared" si="42"/>
        <v>Rawski</v>
      </c>
      <c r="E209" t="str">
        <f t="shared" si="39"/>
        <v>łódzkie</v>
      </c>
      <c r="F209">
        <v>8</v>
      </c>
      <c r="G209" t="s">
        <v>46</v>
      </c>
      <c r="H209">
        <v>1904</v>
      </c>
      <c r="I209">
        <v>1904</v>
      </c>
      <c r="J209">
        <v>0</v>
      </c>
      <c r="K209">
        <v>1341</v>
      </c>
      <c r="L209">
        <v>829</v>
      </c>
      <c r="M209">
        <v>512</v>
      </c>
      <c r="N209">
        <v>512</v>
      </c>
      <c r="O209">
        <v>0</v>
      </c>
      <c r="P209">
        <v>0</v>
      </c>
      <c r="Q209">
        <v>1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512</v>
      </c>
      <c r="Z209">
        <v>0</v>
      </c>
      <c r="AA209">
        <v>1</v>
      </c>
      <c r="AB209">
        <v>511</v>
      </c>
      <c r="AC209">
        <v>45</v>
      </c>
      <c r="AD209">
        <v>466</v>
      </c>
      <c r="AE209">
        <v>9</v>
      </c>
      <c r="AF209">
        <v>3</v>
      </c>
      <c r="AG209">
        <v>1</v>
      </c>
      <c r="AH209">
        <v>0</v>
      </c>
      <c r="AI209">
        <v>3</v>
      </c>
      <c r="AJ209">
        <v>0</v>
      </c>
      <c r="AK209">
        <v>0</v>
      </c>
      <c r="AL209">
        <v>1</v>
      </c>
      <c r="AM209">
        <v>0</v>
      </c>
      <c r="AN209">
        <v>0</v>
      </c>
      <c r="AO209">
        <v>1</v>
      </c>
      <c r="AP209">
        <v>9</v>
      </c>
      <c r="AQ209">
        <v>15</v>
      </c>
      <c r="AR209">
        <v>7</v>
      </c>
      <c r="AS209">
        <v>2</v>
      </c>
      <c r="AT209">
        <v>0</v>
      </c>
      <c r="AU209">
        <v>0</v>
      </c>
      <c r="AV209">
        <v>2</v>
      </c>
      <c r="AW209">
        <v>0</v>
      </c>
      <c r="AX209">
        <v>1</v>
      </c>
      <c r="AY209">
        <v>0</v>
      </c>
      <c r="AZ209">
        <v>2</v>
      </c>
      <c r="BA209">
        <v>1</v>
      </c>
      <c r="BB209">
        <v>15</v>
      </c>
      <c r="BC209">
        <v>27</v>
      </c>
      <c r="BD209">
        <v>20</v>
      </c>
      <c r="BE209">
        <v>6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1</v>
      </c>
      <c r="BN209">
        <v>27</v>
      </c>
      <c r="BO209">
        <v>179</v>
      </c>
      <c r="BP209">
        <v>166</v>
      </c>
      <c r="BQ209">
        <v>6</v>
      </c>
      <c r="BR209">
        <v>6</v>
      </c>
      <c r="BS209">
        <v>0</v>
      </c>
      <c r="BT209">
        <v>0</v>
      </c>
      <c r="BU209">
        <v>1</v>
      </c>
      <c r="BV209">
        <v>0</v>
      </c>
      <c r="BW209">
        <v>0</v>
      </c>
      <c r="BX209">
        <v>0</v>
      </c>
      <c r="BY209">
        <v>0</v>
      </c>
      <c r="BZ209">
        <v>179</v>
      </c>
      <c r="CA209">
        <v>5</v>
      </c>
      <c r="CB209">
        <v>1</v>
      </c>
      <c r="CC209">
        <v>1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1</v>
      </c>
      <c r="CK209">
        <v>1</v>
      </c>
      <c r="CL209">
        <v>5</v>
      </c>
      <c r="CM209">
        <v>10</v>
      </c>
      <c r="CN209">
        <v>6</v>
      </c>
      <c r="CO209">
        <v>0</v>
      </c>
      <c r="CP209">
        <v>0</v>
      </c>
      <c r="CQ209">
        <v>2</v>
      </c>
      <c r="CR209">
        <v>0</v>
      </c>
      <c r="CS209">
        <v>1</v>
      </c>
      <c r="CT209">
        <v>0</v>
      </c>
      <c r="CU209">
        <v>0</v>
      </c>
      <c r="CV209">
        <v>0</v>
      </c>
      <c r="CW209">
        <v>1</v>
      </c>
      <c r="CX209">
        <v>10</v>
      </c>
      <c r="CY209">
        <v>40</v>
      </c>
      <c r="CZ209">
        <v>28</v>
      </c>
      <c r="DA209">
        <v>2</v>
      </c>
      <c r="DB209">
        <v>5</v>
      </c>
      <c r="DC209">
        <v>1</v>
      </c>
      <c r="DD209">
        <v>1</v>
      </c>
      <c r="DE209">
        <v>0</v>
      </c>
      <c r="DF209">
        <v>1</v>
      </c>
      <c r="DG209">
        <v>0</v>
      </c>
      <c r="DH209">
        <v>2</v>
      </c>
      <c r="DI209">
        <v>0</v>
      </c>
      <c r="DJ209">
        <v>40</v>
      </c>
      <c r="DK209">
        <v>107</v>
      </c>
      <c r="DL209">
        <v>56</v>
      </c>
      <c r="DM209">
        <v>7</v>
      </c>
      <c r="DN209">
        <v>5</v>
      </c>
      <c r="DO209">
        <v>1</v>
      </c>
      <c r="DP209">
        <v>0</v>
      </c>
      <c r="DQ209">
        <v>0</v>
      </c>
      <c r="DR209">
        <v>1</v>
      </c>
      <c r="DS209">
        <v>34</v>
      </c>
      <c r="DT209">
        <v>0</v>
      </c>
      <c r="DU209">
        <v>3</v>
      </c>
      <c r="DV209">
        <v>107</v>
      </c>
      <c r="DW209">
        <v>61</v>
      </c>
      <c r="DX209">
        <v>0</v>
      </c>
      <c r="DY209">
        <v>2</v>
      </c>
      <c r="DZ209">
        <v>0</v>
      </c>
      <c r="EA209">
        <v>0</v>
      </c>
      <c r="EB209">
        <v>0</v>
      </c>
      <c r="EC209">
        <v>59</v>
      </c>
      <c r="ED209">
        <v>0</v>
      </c>
      <c r="EE209">
        <v>0</v>
      </c>
      <c r="EF209">
        <v>0</v>
      </c>
      <c r="EG209">
        <v>0</v>
      </c>
      <c r="EH209">
        <v>61</v>
      </c>
      <c r="EI209">
        <v>5</v>
      </c>
      <c r="EJ209">
        <v>1</v>
      </c>
      <c r="EK209">
        <v>2</v>
      </c>
      <c r="EL209">
        <v>0</v>
      </c>
      <c r="EM209">
        <v>1</v>
      </c>
      <c r="EN209">
        <v>0</v>
      </c>
      <c r="EO209">
        <v>1</v>
      </c>
      <c r="EP209">
        <v>0</v>
      </c>
      <c r="EQ209">
        <v>0</v>
      </c>
      <c r="ER209">
        <v>5</v>
      </c>
      <c r="ES209">
        <v>6</v>
      </c>
      <c r="ET209">
        <v>0</v>
      </c>
      <c r="EU209">
        <v>6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6</v>
      </c>
      <c r="FE209">
        <v>2</v>
      </c>
      <c r="FF209">
        <v>0</v>
      </c>
      <c r="FG209">
        <v>1</v>
      </c>
      <c r="FH209">
        <v>1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2</v>
      </c>
    </row>
    <row r="210" spans="1:172" ht="14.25">
      <c r="A210">
        <v>205</v>
      </c>
      <c r="B210" t="str">
        <f t="shared" si="40"/>
        <v>101301</v>
      </c>
      <c r="C210" t="str">
        <f t="shared" si="41"/>
        <v>m. Rawa Mazowiecka</v>
      </c>
      <c r="D210" t="str">
        <f t="shared" si="42"/>
        <v>Rawski</v>
      </c>
      <c r="E210" t="str">
        <f t="shared" si="39"/>
        <v>łódzkie</v>
      </c>
      <c r="F210">
        <v>9</v>
      </c>
      <c r="G210" t="str">
        <f>"AMG Centrum Medyczne Sp. z o.o. - Szpital im. Św. Ducha, Warszawska 14, 96-200 Rawa Mazowiecka"</f>
        <v>AMG Centrum Medyczne Sp. z o.o. - Szpital im. Św. Ducha, Warszawska 14, 96-200 Rawa Mazowiecka</v>
      </c>
      <c r="H210">
        <v>59</v>
      </c>
      <c r="I210">
        <v>59</v>
      </c>
      <c r="J210">
        <v>0</v>
      </c>
      <c r="K210">
        <v>150</v>
      </c>
      <c r="L210">
        <v>139</v>
      </c>
      <c r="M210">
        <v>11</v>
      </c>
      <c r="N210">
        <v>11</v>
      </c>
      <c r="O210">
        <v>0</v>
      </c>
      <c r="P210">
        <v>0</v>
      </c>
      <c r="Q210">
        <v>2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11</v>
      </c>
      <c r="Z210">
        <v>0</v>
      </c>
      <c r="AA210">
        <v>0</v>
      </c>
      <c r="AB210">
        <v>11</v>
      </c>
      <c r="AC210">
        <v>0</v>
      </c>
      <c r="AD210">
        <v>11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7</v>
      </c>
      <c r="BP210">
        <v>7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7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2</v>
      </c>
      <c r="DL210">
        <v>2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2</v>
      </c>
      <c r="DW210">
        <v>2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2</v>
      </c>
      <c r="ED210">
        <v>0</v>
      </c>
      <c r="EE210">
        <v>0</v>
      </c>
      <c r="EF210">
        <v>0</v>
      </c>
      <c r="EG210">
        <v>0</v>
      </c>
      <c r="EH210">
        <v>2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</row>
    <row r="211" spans="1:172" ht="14.25">
      <c r="A211">
        <v>206</v>
      </c>
      <c r="B211" t="str">
        <f aca="true" t="shared" si="43" ref="B211:B217">"101302"</f>
        <v>101302</v>
      </c>
      <c r="C211" t="str">
        <f aca="true" t="shared" si="44" ref="C211:C217">"Biała Rawska"</f>
        <v>Biała Rawska</v>
      </c>
      <c r="D211" t="str">
        <f t="shared" si="42"/>
        <v>Rawski</v>
      </c>
      <c r="E211" t="str">
        <f t="shared" si="39"/>
        <v>łódzkie</v>
      </c>
      <c r="F211">
        <v>1</v>
      </c>
      <c r="G211" t="str">
        <f>"Szkoła Podstawowa, Aleja Lipowa 12, Babsk, 92-200 Rawa Mazowiecka"</f>
        <v>Szkoła Podstawowa, Aleja Lipowa 12, Babsk, 92-200 Rawa Mazowiecka</v>
      </c>
      <c r="H211">
        <v>1062</v>
      </c>
      <c r="I211">
        <v>1062</v>
      </c>
      <c r="J211">
        <v>0</v>
      </c>
      <c r="K211">
        <v>750</v>
      </c>
      <c r="L211">
        <v>534</v>
      </c>
      <c r="M211">
        <v>216</v>
      </c>
      <c r="N211">
        <v>216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216</v>
      </c>
      <c r="Z211">
        <v>0</v>
      </c>
      <c r="AA211">
        <v>0</v>
      </c>
      <c r="AB211">
        <v>216</v>
      </c>
      <c r="AC211">
        <v>9</v>
      </c>
      <c r="AD211">
        <v>207</v>
      </c>
      <c r="AE211">
        <v>2</v>
      </c>
      <c r="AF211">
        <v>2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2</v>
      </c>
      <c r="AQ211">
        <v>2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2</v>
      </c>
      <c r="BB211">
        <v>2</v>
      </c>
      <c r="BC211">
        <v>15</v>
      </c>
      <c r="BD211">
        <v>6</v>
      </c>
      <c r="BE211">
        <v>0</v>
      </c>
      <c r="BF211">
        <v>5</v>
      </c>
      <c r="BG211">
        <v>1</v>
      </c>
      <c r="BH211">
        <v>0</v>
      </c>
      <c r="BI211">
        <v>0</v>
      </c>
      <c r="BJ211">
        <v>0</v>
      </c>
      <c r="BK211">
        <v>0</v>
      </c>
      <c r="BL211">
        <v>1</v>
      </c>
      <c r="BM211">
        <v>2</v>
      </c>
      <c r="BN211">
        <v>15</v>
      </c>
      <c r="BO211">
        <v>86</v>
      </c>
      <c r="BP211">
        <v>80</v>
      </c>
      <c r="BQ211">
        <v>1</v>
      </c>
      <c r="BR211">
        <v>1</v>
      </c>
      <c r="BS211">
        <v>0</v>
      </c>
      <c r="BT211">
        <v>0</v>
      </c>
      <c r="BU211">
        <v>3</v>
      </c>
      <c r="BV211">
        <v>0</v>
      </c>
      <c r="BW211">
        <v>0</v>
      </c>
      <c r="BX211">
        <v>0</v>
      </c>
      <c r="BY211">
        <v>1</v>
      </c>
      <c r="BZ211">
        <v>86</v>
      </c>
      <c r="CA211">
        <v>1</v>
      </c>
      <c r="CB211">
        <v>0</v>
      </c>
      <c r="CC211">
        <v>0</v>
      </c>
      <c r="CD211">
        <v>0</v>
      </c>
      <c r="CE211">
        <v>1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1</v>
      </c>
      <c r="CM211">
        <v>7</v>
      </c>
      <c r="CN211">
        <v>5</v>
      </c>
      <c r="CO211">
        <v>1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1</v>
      </c>
      <c r="CX211">
        <v>7</v>
      </c>
      <c r="CY211">
        <v>12</v>
      </c>
      <c r="CZ211">
        <v>6</v>
      </c>
      <c r="DA211">
        <v>2</v>
      </c>
      <c r="DB211">
        <v>2</v>
      </c>
      <c r="DC211">
        <v>0</v>
      </c>
      <c r="DD211">
        <v>0</v>
      </c>
      <c r="DE211">
        <v>1</v>
      </c>
      <c r="DF211">
        <v>0</v>
      </c>
      <c r="DG211">
        <v>1</v>
      </c>
      <c r="DH211">
        <v>0</v>
      </c>
      <c r="DI211">
        <v>0</v>
      </c>
      <c r="DJ211">
        <v>12</v>
      </c>
      <c r="DK211">
        <v>34</v>
      </c>
      <c r="DL211">
        <v>20</v>
      </c>
      <c r="DM211">
        <v>3</v>
      </c>
      <c r="DN211">
        <v>5</v>
      </c>
      <c r="DO211">
        <v>0</v>
      </c>
      <c r="DP211">
        <v>0</v>
      </c>
      <c r="DQ211">
        <v>0</v>
      </c>
      <c r="DR211">
        <v>0</v>
      </c>
      <c r="DS211">
        <v>6</v>
      </c>
      <c r="DT211">
        <v>0</v>
      </c>
      <c r="DU211">
        <v>0</v>
      </c>
      <c r="DV211">
        <v>34</v>
      </c>
      <c r="DW211">
        <v>46</v>
      </c>
      <c r="DX211">
        <v>7</v>
      </c>
      <c r="DY211">
        <v>8</v>
      </c>
      <c r="DZ211">
        <v>0</v>
      </c>
      <c r="EA211">
        <v>0</v>
      </c>
      <c r="EB211">
        <v>0</v>
      </c>
      <c r="EC211">
        <v>27</v>
      </c>
      <c r="ED211">
        <v>0</v>
      </c>
      <c r="EE211">
        <v>1</v>
      </c>
      <c r="EF211">
        <v>3</v>
      </c>
      <c r="EG211">
        <v>0</v>
      </c>
      <c r="EH211">
        <v>46</v>
      </c>
      <c r="EI211">
        <v>1</v>
      </c>
      <c r="EJ211">
        <v>0</v>
      </c>
      <c r="EK211">
        <v>1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1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1</v>
      </c>
      <c r="FF211">
        <v>1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1</v>
      </c>
    </row>
    <row r="212" spans="1:172" ht="14.25">
      <c r="A212">
        <v>207</v>
      </c>
      <c r="B212" t="str">
        <f t="shared" si="43"/>
        <v>101302</v>
      </c>
      <c r="C212" t="str">
        <f t="shared" si="44"/>
        <v>Biała Rawska</v>
      </c>
      <c r="D212" t="str">
        <f t="shared" si="42"/>
        <v>Rawski</v>
      </c>
      <c r="E212" t="str">
        <f t="shared" si="39"/>
        <v>łódzkie</v>
      </c>
      <c r="F212">
        <v>2</v>
      </c>
      <c r="G212" t="str">
        <f>"Szkoła Podstawowa, ul. Mickiewicza 22, 96-230 Biała Rawska"</f>
        <v>Szkoła Podstawowa, ul. Mickiewicza 22, 96-230 Biała Rawska</v>
      </c>
      <c r="H212">
        <v>1315</v>
      </c>
      <c r="I212">
        <v>1315</v>
      </c>
      <c r="J212">
        <v>0</v>
      </c>
      <c r="K212">
        <v>930</v>
      </c>
      <c r="L212">
        <v>645</v>
      </c>
      <c r="M212">
        <v>285</v>
      </c>
      <c r="N212">
        <v>285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285</v>
      </c>
      <c r="Z212">
        <v>0</v>
      </c>
      <c r="AA212">
        <v>0</v>
      </c>
      <c r="AB212">
        <v>285</v>
      </c>
      <c r="AC212">
        <v>13</v>
      </c>
      <c r="AD212">
        <v>272</v>
      </c>
      <c r="AE212">
        <v>5</v>
      </c>
      <c r="AF212">
        <v>4</v>
      </c>
      <c r="AG212">
        <v>1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5</v>
      </c>
      <c r="AQ212">
        <v>2</v>
      </c>
      <c r="AR212">
        <v>1</v>
      </c>
      <c r="AS212">
        <v>1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2</v>
      </c>
      <c r="BC212">
        <v>13</v>
      </c>
      <c r="BD212">
        <v>8</v>
      </c>
      <c r="BE212">
        <v>0</v>
      </c>
      <c r="BF212">
        <v>0</v>
      </c>
      <c r="BG212">
        <v>0</v>
      </c>
      <c r="BH212">
        <v>1</v>
      </c>
      <c r="BI212">
        <v>1</v>
      </c>
      <c r="BJ212">
        <v>0</v>
      </c>
      <c r="BK212">
        <v>0</v>
      </c>
      <c r="BL212">
        <v>3</v>
      </c>
      <c r="BM212">
        <v>0</v>
      </c>
      <c r="BN212">
        <v>13</v>
      </c>
      <c r="BO212">
        <v>131</v>
      </c>
      <c r="BP212">
        <v>121</v>
      </c>
      <c r="BQ212">
        <v>2</v>
      </c>
      <c r="BR212">
        <v>1</v>
      </c>
      <c r="BS212">
        <v>6</v>
      </c>
      <c r="BT212">
        <v>0</v>
      </c>
      <c r="BU212">
        <v>1</v>
      </c>
      <c r="BV212">
        <v>0</v>
      </c>
      <c r="BW212">
        <v>0</v>
      </c>
      <c r="BX212">
        <v>0</v>
      </c>
      <c r="BY212">
        <v>0</v>
      </c>
      <c r="BZ212">
        <v>131</v>
      </c>
      <c r="CA212">
        <v>2</v>
      </c>
      <c r="CB212">
        <v>0</v>
      </c>
      <c r="CC212">
        <v>0</v>
      </c>
      <c r="CD212">
        <v>1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1</v>
      </c>
      <c r="CK212">
        <v>0</v>
      </c>
      <c r="CL212">
        <v>2</v>
      </c>
      <c r="CM212">
        <v>5</v>
      </c>
      <c r="CN212">
        <v>4</v>
      </c>
      <c r="CO212">
        <v>0</v>
      </c>
      <c r="CP212">
        <v>0</v>
      </c>
      <c r="CQ212">
        <v>0</v>
      </c>
      <c r="CR212">
        <v>1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5</v>
      </c>
      <c r="CY212">
        <v>20</v>
      </c>
      <c r="CZ212">
        <v>15</v>
      </c>
      <c r="DA212">
        <v>2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1</v>
      </c>
      <c r="DH212">
        <v>2</v>
      </c>
      <c r="DI212">
        <v>0</v>
      </c>
      <c r="DJ212">
        <v>20</v>
      </c>
      <c r="DK212">
        <v>51</v>
      </c>
      <c r="DL212">
        <v>19</v>
      </c>
      <c r="DM212">
        <v>15</v>
      </c>
      <c r="DN212">
        <v>8</v>
      </c>
      <c r="DO212">
        <v>1</v>
      </c>
      <c r="DP212">
        <v>1</v>
      </c>
      <c r="DQ212">
        <v>1</v>
      </c>
      <c r="DR212">
        <v>0</v>
      </c>
      <c r="DS212">
        <v>4</v>
      </c>
      <c r="DT212">
        <v>0</v>
      </c>
      <c r="DU212">
        <v>2</v>
      </c>
      <c r="DV212">
        <v>51</v>
      </c>
      <c r="DW212">
        <v>39</v>
      </c>
      <c r="DX212">
        <v>0</v>
      </c>
      <c r="DY212">
        <v>5</v>
      </c>
      <c r="DZ212">
        <v>0</v>
      </c>
      <c r="EA212">
        <v>0</v>
      </c>
      <c r="EB212">
        <v>0</v>
      </c>
      <c r="EC212">
        <v>29</v>
      </c>
      <c r="ED212">
        <v>1</v>
      </c>
      <c r="EE212">
        <v>4</v>
      </c>
      <c r="EF212">
        <v>0</v>
      </c>
      <c r="EG212">
        <v>0</v>
      </c>
      <c r="EH212">
        <v>39</v>
      </c>
      <c r="EI212">
        <v>2</v>
      </c>
      <c r="EJ212">
        <v>0</v>
      </c>
      <c r="EK212">
        <v>2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2</v>
      </c>
      <c r="ES212">
        <v>1</v>
      </c>
      <c r="ET212">
        <v>0</v>
      </c>
      <c r="EU212">
        <v>0</v>
      </c>
      <c r="EV212">
        <v>1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1</v>
      </c>
      <c r="FE212">
        <v>1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1</v>
      </c>
      <c r="FP212">
        <v>1</v>
      </c>
    </row>
    <row r="213" spans="1:172" ht="14.25">
      <c r="A213">
        <v>208</v>
      </c>
      <c r="B213" t="str">
        <f t="shared" si="43"/>
        <v>101302</v>
      </c>
      <c r="C213" t="str">
        <f t="shared" si="44"/>
        <v>Biała Rawska</v>
      </c>
      <c r="D213" t="str">
        <f t="shared" si="42"/>
        <v>Rawski</v>
      </c>
      <c r="E213" t="str">
        <f t="shared" si="39"/>
        <v>łódzkie</v>
      </c>
      <c r="F213">
        <v>3</v>
      </c>
      <c r="G213" t="str">
        <f>"Zespół Szkół Ponadgimnazjalnych, ul. 15 Grudnia 9, 96-230 Biała Rawska"</f>
        <v>Zespół Szkół Ponadgimnazjalnych, ul. 15 Grudnia 9, 96-230 Biała Rawska</v>
      </c>
      <c r="H213">
        <v>1820</v>
      </c>
      <c r="I213">
        <v>1820</v>
      </c>
      <c r="J213">
        <v>0</v>
      </c>
      <c r="K213">
        <v>1280</v>
      </c>
      <c r="L213">
        <v>1013</v>
      </c>
      <c r="M213">
        <v>267</v>
      </c>
      <c r="N213">
        <v>267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267</v>
      </c>
      <c r="Z213">
        <v>0</v>
      </c>
      <c r="AA213">
        <v>0</v>
      </c>
      <c r="AB213">
        <v>267</v>
      </c>
      <c r="AC213">
        <v>10</v>
      </c>
      <c r="AD213">
        <v>257</v>
      </c>
      <c r="AE213">
        <v>5</v>
      </c>
      <c r="AF213">
        <v>4</v>
      </c>
      <c r="AG213">
        <v>1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5</v>
      </c>
      <c r="AQ213">
        <v>2</v>
      </c>
      <c r="AR213">
        <v>0</v>
      </c>
      <c r="AS213">
        <v>1</v>
      </c>
      <c r="AT213">
        <v>0</v>
      </c>
      <c r="AU213">
        <v>0</v>
      </c>
      <c r="AV213">
        <v>1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2</v>
      </c>
      <c r="BC213">
        <v>11</v>
      </c>
      <c r="BD213">
        <v>5</v>
      </c>
      <c r="BE213">
        <v>4</v>
      </c>
      <c r="BF213">
        <v>0</v>
      </c>
      <c r="BG213">
        <v>0</v>
      </c>
      <c r="BH213">
        <v>1</v>
      </c>
      <c r="BI213">
        <v>0</v>
      </c>
      <c r="BJ213">
        <v>0</v>
      </c>
      <c r="BK213">
        <v>0</v>
      </c>
      <c r="BL213">
        <v>0</v>
      </c>
      <c r="BM213">
        <v>1</v>
      </c>
      <c r="BN213">
        <v>11</v>
      </c>
      <c r="BO213">
        <v>158</v>
      </c>
      <c r="BP213">
        <v>155</v>
      </c>
      <c r="BQ213">
        <v>0</v>
      </c>
      <c r="BR213">
        <v>1</v>
      </c>
      <c r="BS213">
        <v>2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158</v>
      </c>
      <c r="CA213">
        <v>2</v>
      </c>
      <c r="CB213">
        <v>1</v>
      </c>
      <c r="CC213">
        <v>0</v>
      </c>
      <c r="CD213">
        <v>0</v>
      </c>
      <c r="CE213">
        <v>0</v>
      </c>
      <c r="CF213">
        <v>0</v>
      </c>
      <c r="CG213">
        <v>1</v>
      </c>
      <c r="CH213">
        <v>0</v>
      </c>
      <c r="CI213">
        <v>0</v>
      </c>
      <c r="CJ213">
        <v>0</v>
      </c>
      <c r="CK213">
        <v>0</v>
      </c>
      <c r="CL213">
        <v>2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5</v>
      </c>
      <c r="CZ213">
        <v>3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1</v>
      </c>
      <c r="DH213">
        <v>1</v>
      </c>
      <c r="DI213">
        <v>0</v>
      </c>
      <c r="DJ213">
        <v>5</v>
      </c>
      <c r="DK213">
        <v>28</v>
      </c>
      <c r="DL213">
        <v>7</v>
      </c>
      <c r="DM213">
        <v>1</v>
      </c>
      <c r="DN213">
        <v>6</v>
      </c>
      <c r="DO213">
        <v>1</v>
      </c>
      <c r="DP213">
        <v>0</v>
      </c>
      <c r="DQ213">
        <v>0</v>
      </c>
      <c r="DR213">
        <v>2</v>
      </c>
      <c r="DS213">
        <v>10</v>
      </c>
      <c r="DT213">
        <v>0</v>
      </c>
      <c r="DU213">
        <v>1</v>
      </c>
      <c r="DV213">
        <v>28</v>
      </c>
      <c r="DW213">
        <v>46</v>
      </c>
      <c r="DX213">
        <v>3</v>
      </c>
      <c r="DY213">
        <v>19</v>
      </c>
      <c r="DZ213">
        <v>0</v>
      </c>
      <c r="EA213">
        <v>0</v>
      </c>
      <c r="EB213">
        <v>0</v>
      </c>
      <c r="EC213">
        <v>24</v>
      </c>
      <c r="ED213">
        <v>0</v>
      </c>
      <c r="EE213">
        <v>0</v>
      </c>
      <c r="EF213">
        <v>0</v>
      </c>
      <c r="EG213">
        <v>0</v>
      </c>
      <c r="EH213">
        <v>46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</row>
    <row r="214" spans="1:172" ht="14.25">
      <c r="A214">
        <v>209</v>
      </c>
      <c r="B214" t="str">
        <f t="shared" si="43"/>
        <v>101302</v>
      </c>
      <c r="C214" t="str">
        <f t="shared" si="44"/>
        <v>Biała Rawska</v>
      </c>
      <c r="D214" t="str">
        <f t="shared" si="42"/>
        <v>Rawski</v>
      </c>
      <c r="E214" t="str">
        <f t="shared" si="39"/>
        <v>łódzkie</v>
      </c>
      <c r="F214">
        <v>4</v>
      </c>
      <c r="G214" t="str">
        <f>"Ochotnicza Straż Pożarna, Dańków 6, 96-230 Biała Rawska"</f>
        <v>Ochotnicza Straż Pożarna, Dańków 6, 96-230 Biała Rawska</v>
      </c>
      <c r="H214">
        <v>1863</v>
      </c>
      <c r="I214">
        <v>1863</v>
      </c>
      <c r="J214">
        <v>0</v>
      </c>
      <c r="K214">
        <v>1310</v>
      </c>
      <c r="L214">
        <v>1034</v>
      </c>
      <c r="M214">
        <v>276</v>
      </c>
      <c r="N214">
        <v>276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276</v>
      </c>
      <c r="Z214">
        <v>0</v>
      </c>
      <c r="AA214">
        <v>0</v>
      </c>
      <c r="AB214">
        <v>276</v>
      </c>
      <c r="AC214">
        <v>5</v>
      </c>
      <c r="AD214">
        <v>271</v>
      </c>
      <c r="AE214">
        <v>4</v>
      </c>
      <c r="AF214">
        <v>1</v>
      </c>
      <c r="AG214">
        <v>1</v>
      </c>
      <c r="AH214">
        <v>1</v>
      </c>
      <c r="AI214">
        <v>0</v>
      </c>
      <c r="AJ214">
        <v>0</v>
      </c>
      <c r="AK214">
        <v>0</v>
      </c>
      <c r="AL214">
        <v>0</v>
      </c>
      <c r="AM214">
        <v>1</v>
      </c>
      <c r="AN214">
        <v>0</v>
      </c>
      <c r="AO214">
        <v>0</v>
      </c>
      <c r="AP214">
        <v>4</v>
      </c>
      <c r="AQ214">
        <v>1</v>
      </c>
      <c r="AR214">
        <v>1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1</v>
      </c>
      <c r="BC214">
        <v>4</v>
      </c>
      <c r="BD214">
        <v>3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1</v>
      </c>
      <c r="BM214">
        <v>0</v>
      </c>
      <c r="BN214">
        <v>4</v>
      </c>
      <c r="BO214">
        <v>149</v>
      </c>
      <c r="BP214">
        <v>142</v>
      </c>
      <c r="BQ214">
        <v>2</v>
      </c>
      <c r="BR214">
        <v>0</v>
      </c>
      <c r="BS214">
        <v>1</v>
      </c>
      <c r="BT214">
        <v>1</v>
      </c>
      <c r="BU214">
        <v>2</v>
      </c>
      <c r="BV214">
        <v>0</v>
      </c>
      <c r="BW214">
        <v>0</v>
      </c>
      <c r="BX214">
        <v>0</v>
      </c>
      <c r="BY214">
        <v>1</v>
      </c>
      <c r="BZ214">
        <v>149</v>
      </c>
      <c r="CA214">
        <v>2</v>
      </c>
      <c r="CB214">
        <v>1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1</v>
      </c>
      <c r="CI214">
        <v>0</v>
      </c>
      <c r="CJ214">
        <v>0</v>
      </c>
      <c r="CK214">
        <v>0</v>
      </c>
      <c r="CL214">
        <v>2</v>
      </c>
      <c r="CM214">
        <v>1</v>
      </c>
      <c r="CN214">
        <v>1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1</v>
      </c>
      <c r="CY214">
        <v>15</v>
      </c>
      <c r="CZ214">
        <v>9</v>
      </c>
      <c r="DA214">
        <v>2</v>
      </c>
      <c r="DB214">
        <v>1</v>
      </c>
      <c r="DC214">
        <v>0</v>
      </c>
      <c r="DD214">
        <v>0</v>
      </c>
      <c r="DE214">
        <v>1</v>
      </c>
      <c r="DF214">
        <v>0</v>
      </c>
      <c r="DG214">
        <v>0</v>
      </c>
      <c r="DH214">
        <v>1</v>
      </c>
      <c r="DI214">
        <v>1</v>
      </c>
      <c r="DJ214">
        <v>15</v>
      </c>
      <c r="DK214">
        <v>16</v>
      </c>
      <c r="DL214">
        <v>7</v>
      </c>
      <c r="DM214">
        <v>4</v>
      </c>
      <c r="DN214">
        <v>1</v>
      </c>
      <c r="DO214">
        <v>0</v>
      </c>
      <c r="DP214">
        <v>1</v>
      </c>
      <c r="DQ214">
        <v>2</v>
      </c>
      <c r="DR214">
        <v>0</v>
      </c>
      <c r="DS214">
        <v>1</v>
      </c>
      <c r="DT214">
        <v>0</v>
      </c>
      <c r="DU214">
        <v>0</v>
      </c>
      <c r="DV214">
        <v>16</v>
      </c>
      <c r="DW214">
        <v>74</v>
      </c>
      <c r="DX214">
        <v>9</v>
      </c>
      <c r="DY214">
        <v>30</v>
      </c>
      <c r="DZ214">
        <v>1</v>
      </c>
      <c r="EA214">
        <v>0</v>
      </c>
      <c r="EB214">
        <v>1</v>
      </c>
      <c r="EC214">
        <v>19</v>
      </c>
      <c r="ED214">
        <v>5</v>
      </c>
      <c r="EE214">
        <v>2</v>
      </c>
      <c r="EF214">
        <v>4</v>
      </c>
      <c r="EG214">
        <v>3</v>
      </c>
      <c r="EH214">
        <v>74</v>
      </c>
      <c r="EI214">
        <v>3</v>
      </c>
      <c r="EJ214">
        <v>0</v>
      </c>
      <c r="EK214">
        <v>1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2</v>
      </c>
      <c r="ER214">
        <v>3</v>
      </c>
      <c r="ES214">
        <v>2</v>
      </c>
      <c r="ET214">
        <v>2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2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</row>
    <row r="215" spans="1:172" ht="14.25">
      <c r="A215">
        <v>210</v>
      </c>
      <c r="B215" t="str">
        <f t="shared" si="43"/>
        <v>101302</v>
      </c>
      <c r="C215" t="str">
        <f t="shared" si="44"/>
        <v>Biała Rawska</v>
      </c>
      <c r="D215" t="str">
        <f t="shared" si="42"/>
        <v>Rawski</v>
      </c>
      <c r="E215" t="str">
        <f t="shared" si="39"/>
        <v>łódzkie</v>
      </c>
      <c r="F215">
        <v>5</v>
      </c>
      <c r="G215" t="str">
        <f>"Ochotnicza Straż Pożarna, Szczuki 4, 96-230 Biała Rawska"</f>
        <v>Ochotnicza Straż Pożarna, Szczuki 4, 96-230 Biała Rawska</v>
      </c>
      <c r="H215">
        <v>763</v>
      </c>
      <c r="I215">
        <v>763</v>
      </c>
      <c r="J215">
        <v>0</v>
      </c>
      <c r="K215">
        <v>541</v>
      </c>
      <c r="L215">
        <v>347</v>
      </c>
      <c r="M215">
        <v>194</v>
      </c>
      <c r="N215">
        <v>194</v>
      </c>
      <c r="O215">
        <v>0</v>
      </c>
      <c r="P215">
        <v>0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194</v>
      </c>
      <c r="Z215">
        <v>0</v>
      </c>
      <c r="AA215">
        <v>0</v>
      </c>
      <c r="AB215">
        <v>194</v>
      </c>
      <c r="AC215">
        <v>5</v>
      </c>
      <c r="AD215">
        <v>189</v>
      </c>
      <c r="AE215">
        <v>3</v>
      </c>
      <c r="AF215">
        <v>1</v>
      </c>
      <c r="AG215">
        <v>0</v>
      </c>
      <c r="AH215">
        <v>1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1</v>
      </c>
      <c r="AO215">
        <v>0</v>
      </c>
      <c r="AP215">
        <v>3</v>
      </c>
      <c r="AQ215">
        <v>1</v>
      </c>
      <c r="AR215">
        <v>0</v>
      </c>
      <c r="AS215">
        <v>0</v>
      </c>
      <c r="AT215">
        <v>1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1</v>
      </c>
      <c r="BC215">
        <v>2</v>
      </c>
      <c r="BD215">
        <v>1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1</v>
      </c>
      <c r="BM215">
        <v>0</v>
      </c>
      <c r="BN215">
        <v>2</v>
      </c>
      <c r="BO215">
        <v>122</v>
      </c>
      <c r="BP215">
        <v>120</v>
      </c>
      <c r="BQ215">
        <v>1</v>
      </c>
      <c r="BR215">
        <v>1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122</v>
      </c>
      <c r="CA215">
        <v>1</v>
      </c>
      <c r="CB215">
        <v>0</v>
      </c>
      <c r="CC215">
        <v>1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1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4</v>
      </c>
      <c r="CZ215">
        <v>1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3</v>
      </c>
      <c r="DH215">
        <v>0</v>
      </c>
      <c r="DI215">
        <v>0</v>
      </c>
      <c r="DJ215">
        <v>4</v>
      </c>
      <c r="DK215">
        <v>16</v>
      </c>
      <c r="DL215">
        <v>5</v>
      </c>
      <c r="DM215">
        <v>0</v>
      </c>
      <c r="DN215">
        <v>4</v>
      </c>
      <c r="DO215">
        <v>0</v>
      </c>
      <c r="DP215">
        <v>0</v>
      </c>
      <c r="DQ215">
        <v>0</v>
      </c>
      <c r="DR215">
        <v>0</v>
      </c>
      <c r="DS215">
        <v>7</v>
      </c>
      <c r="DT215">
        <v>0</v>
      </c>
      <c r="DU215">
        <v>0</v>
      </c>
      <c r="DV215">
        <v>16</v>
      </c>
      <c r="DW215">
        <v>38</v>
      </c>
      <c r="DX215">
        <v>2</v>
      </c>
      <c r="DY215">
        <v>19</v>
      </c>
      <c r="DZ215">
        <v>0</v>
      </c>
      <c r="EA215">
        <v>0</v>
      </c>
      <c r="EB215">
        <v>0</v>
      </c>
      <c r="EC215">
        <v>13</v>
      </c>
      <c r="ED215">
        <v>0</v>
      </c>
      <c r="EE215">
        <v>0</v>
      </c>
      <c r="EF215">
        <v>4</v>
      </c>
      <c r="EG215">
        <v>0</v>
      </c>
      <c r="EH215">
        <v>38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1</v>
      </c>
      <c r="ET215">
        <v>0</v>
      </c>
      <c r="EU215">
        <v>0</v>
      </c>
      <c r="EV215">
        <v>1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1</v>
      </c>
      <c r="FE215">
        <v>1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1</v>
      </c>
      <c r="FP215">
        <v>1</v>
      </c>
    </row>
    <row r="216" spans="1:172" ht="14.25">
      <c r="A216">
        <v>211</v>
      </c>
      <c r="B216" t="str">
        <f t="shared" si="43"/>
        <v>101302</v>
      </c>
      <c r="C216" t="str">
        <f t="shared" si="44"/>
        <v>Biała Rawska</v>
      </c>
      <c r="D216" t="str">
        <f t="shared" si="42"/>
        <v>Rawski</v>
      </c>
      <c r="E216" t="str">
        <f t="shared" si="39"/>
        <v>łódzkie</v>
      </c>
      <c r="F216">
        <v>6</v>
      </c>
      <c r="G216" t="str">
        <f>"Szkoła Podstawowa w Lesiewie, Wólka Lesiewska 21, 96-230 Biała Rawska"</f>
        <v>Szkoła Podstawowa w Lesiewie, Wólka Lesiewska 21, 96-230 Biała Rawska</v>
      </c>
      <c r="H216">
        <v>630</v>
      </c>
      <c r="I216">
        <v>630</v>
      </c>
      <c r="J216">
        <v>0</v>
      </c>
      <c r="K216">
        <v>440</v>
      </c>
      <c r="L216">
        <v>314</v>
      </c>
      <c r="M216">
        <v>126</v>
      </c>
      <c r="N216">
        <v>126</v>
      </c>
      <c r="O216">
        <v>0</v>
      </c>
      <c r="P216">
        <v>0</v>
      </c>
      <c r="Q216">
        <v>8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126</v>
      </c>
      <c r="Z216">
        <v>0</v>
      </c>
      <c r="AA216">
        <v>0</v>
      </c>
      <c r="AB216">
        <v>126</v>
      </c>
      <c r="AC216">
        <v>5</v>
      </c>
      <c r="AD216">
        <v>121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1</v>
      </c>
      <c r="AR216">
        <v>1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1</v>
      </c>
      <c r="BC216">
        <v>3</v>
      </c>
      <c r="BD216">
        <v>2</v>
      </c>
      <c r="BE216">
        <v>0</v>
      </c>
      <c r="BF216">
        <v>0</v>
      </c>
      <c r="BG216">
        <v>1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3</v>
      </c>
      <c r="BO216">
        <v>57</v>
      </c>
      <c r="BP216">
        <v>52</v>
      </c>
      <c r="BQ216">
        <v>0</v>
      </c>
      <c r="BR216">
        <v>2</v>
      </c>
      <c r="BS216">
        <v>2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1</v>
      </c>
      <c r="BZ216">
        <v>57</v>
      </c>
      <c r="CA216">
        <v>1</v>
      </c>
      <c r="CB216">
        <v>1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1</v>
      </c>
      <c r="CM216">
        <v>2</v>
      </c>
      <c r="CN216">
        <v>0</v>
      </c>
      <c r="CO216">
        <v>0</v>
      </c>
      <c r="CP216">
        <v>1</v>
      </c>
      <c r="CQ216">
        <v>1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2</v>
      </c>
      <c r="CY216">
        <v>7</v>
      </c>
      <c r="CZ216">
        <v>6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1</v>
      </c>
      <c r="DJ216">
        <v>7</v>
      </c>
      <c r="DK216">
        <v>19</v>
      </c>
      <c r="DL216">
        <v>3</v>
      </c>
      <c r="DM216">
        <v>3</v>
      </c>
      <c r="DN216">
        <v>8</v>
      </c>
      <c r="DO216">
        <v>0</v>
      </c>
      <c r="DP216">
        <v>0</v>
      </c>
      <c r="DQ216">
        <v>0</v>
      </c>
      <c r="DR216">
        <v>0</v>
      </c>
      <c r="DS216">
        <v>5</v>
      </c>
      <c r="DT216">
        <v>0</v>
      </c>
      <c r="DU216">
        <v>0</v>
      </c>
      <c r="DV216">
        <v>19</v>
      </c>
      <c r="DW216">
        <v>30</v>
      </c>
      <c r="DX216">
        <v>1</v>
      </c>
      <c r="DY216">
        <v>8</v>
      </c>
      <c r="DZ216">
        <v>0</v>
      </c>
      <c r="EA216">
        <v>0</v>
      </c>
      <c r="EB216">
        <v>0</v>
      </c>
      <c r="EC216">
        <v>21</v>
      </c>
      <c r="ED216">
        <v>0</v>
      </c>
      <c r="EE216">
        <v>0</v>
      </c>
      <c r="EF216">
        <v>0</v>
      </c>
      <c r="EG216">
        <v>0</v>
      </c>
      <c r="EH216">
        <v>30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1</v>
      </c>
      <c r="ET216">
        <v>0</v>
      </c>
      <c r="EU216">
        <v>1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1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</row>
    <row r="217" spans="1:172" ht="14.25">
      <c r="A217">
        <v>212</v>
      </c>
      <c r="B217" t="str">
        <f t="shared" si="43"/>
        <v>101302</v>
      </c>
      <c r="C217" t="str">
        <f t="shared" si="44"/>
        <v>Biała Rawska</v>
      </c>
      <c r="D217" t="str">
        <f t="shared" si="42"/>
        <v>Rawski</v>
      </c>
      <c r="E217" t="str">
        <f t="shared" si="39"/>
        <v>łódzkie</v>
      </c>
      <c r="F217">
        <v>7</v>
      </c>
      <c r="G217" t="str">
        <f>"Urząd Stanu Cywilnego, ul. Jana Pawła II 57, 96-230 Biała Rawska"</f>
        <v>Urząd Stanu Cywilnego, ul. Jana Pawła II 57, 96-230 Biała Rawska</v>
      </c>
      <c r="H217">
        <v>1914</v>
      </c>
      <c r="I217">
        <v>1914</v>
      </c>
      <c r="J217">
        <v>0</v>
      </c>
      <c r="K217">
        <v>1340</v>
      </c>
      <c r="L217">
        <v>991</v>
      </c>
      <c r="M217">
        <v>349</v>
      </c>
      <c r="N217">
        <v>349</v>
      </c>
      <c r="O217">
        <v>0</v>
      </c>
      <c r="P217">
        <v>0</v>
      </c>
      <c r="Q217">
        <v>12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349</v>
      </c>
      <c r="Z217">
        <v>0</v>
      </c>
      <c r="AA217">
        <v>0</v>
      </c>
      <c r="AB217">
        <v>349</v>
      </c>
      <c r="AC217">
        <v>9</v>
      </c>
      <c r="AD217">
        <v>340</v>
      </c>
      <c r="AE217">
        <v>8</v>
      </c>
      <c r="AF217">
        <v>4</v>
      </c>
      <c r="AG217">
        <v>1</v>
      </c>
      <c r="AH217">
        <v>0</v>
      </c>
      <c r="AI217">
        <v>0</v>
      </c>
      <c r="AJ217">
        <v>1</v>
      </c>
      <c r="AK217">
        <v>0</v>
      </c>
      <c r="AL217">
        <v>1</v>
      </c>
      <c r="AM217">
        <v>0</v>
      </c>
      <c r="AN217">
        <v>1</v>
      </c>
      <c r="AO217">
        <v>0</v>
      </c>
      <c r="AP217">
        <v>8</v>
      </c>
      <c r="AQ217">
        <v>4</v>
      </c>
      <c r="AR217">
        <v>1</v>
      </c>
      <c r="AS217">
        <v>3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4</v>
      </c>
      <c r="BC217">
        <v>12</v>
      </c>
      <c r="BD217">
        <v>4</v>
      </c>
      <c r="BE217">
        <v>2</v>
      </c>
      <c r="BF217">
        <v>1</v>
      </c>
      <c r="BG217">
        <v>1</v>
      </c>
      <c r="BH217">
        <v>1</v>
      </c>
      <c r="BI217">
        <v>1</v>
      </c>
      <c r="BJ217">
        <v>0</v>
      </c>
      <c r="BK217">
        <v>0</v>
      </c>
      <c r="BL217">
        <v>1</v>
      </c>
      <c r="BM217">
        <v>1</v>
      </c>
      <c r="BN217">
        <v>12</v>
      </c>
      <c r="BO217">
        <v>181</v>
      </c>
      <c r="BP217">
        <v>171</v>
      </c>
      <c r="BQ217">
        <v>2</v>
      </c>
      <c r="BR217">
        <v>0</v>
      </c>
      <c r="BS217">
        <v>2</v>
      </c>
      <c r="BT217">
        <v>0</v>
      </c>
      <c r="BU217">
        <v>0</v>
      </c>
      <c r="BV217">
        <v>0</v>
      </c>
      <c r="BW217">
        <v>0</v>
      </c>
      <c r="BX217">
        <v>1</v>
      </c>
      <c r="BY217">
        <v>5</v>
      </c>
      <c r="BZ217">
        <v>181</v>
      </c>
      <c r="CA217">
        <v>5</v>
      </c>
      <c r="CB217">
        <v>0</v>
      </c>
      <c r="CC217">
        <v>0</v>
      </c>
      <c r="CD217">
        <v>2</v>
      </c>
      <c r="CE217">
        <v>1</v>
      </c>
      <c r="CF217">
        <v>0</v>
      </c>
      <c r="CG217">
        <v>1</v>
      </c>
      <c r="CH217">
        <v>0</v>
      </c>
      <c r="CI217">
        <v>1</v>
      </c>
      <c r="CJ217">
        <v>0</v>
      </c>
      <c r="CK217">
        <v>0</v>
      </c>
      <c r="CL217">
        <v>5</v>
      </c>
      <c r="CM217">
        <v>2</v>
      </c>
      <c r="CN217">
        <v>1</v>
      </c>
      <c r="CO217">
        <v>0</v>
      </c>
      <c r="CP217">
        <v>0</v>
      </c>
      <c r="CQ217">
        <v>1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2</v>
      </c>
      <c r="CY217">
        <v>21</v>
      </c>
      <c r="CZ217">
        <v>15</v>
      </c>
      <c r="DA217">
        <v>2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3</v>
      </c>
      <c r="DI217">
        <v>1</v>
      </c>
      <c r="DJ217">
        <v>21</v>
      </c>
      <c r="DK217">
        <v>49</v>
      </c>
      <c r="DL217">
        <v>17</v>
      </c>
      <c r="DM217">
        <v>2</v>
      </c>
      <c r="DN217">
        <v>14</v>
      </c>
      <c r="DO217">
        <v>0</v>
      </c>
      <c r="DP217">
        <v>1</v>
      </c>
      <c r="DQ217">
        <v>0</v>
      </c>
      <c r="DR217">
        <v>0</v>
      </c>
      <c r="DS217">
        <v>15</v>
      </c>
      <c r="DT217">
        <v>0</v>
      </c>
      <c r="DU217">
        <v>0</v>
      </c>
      <c r="DV217">
        <v>49</v>
      </c>
      <c r="DW217">
        <v>56</v>
      </c>
      <c r="DX217">
        <v>6</v>
      </c>
      <c r="DY217">
        <v>17</v>
      </c>
      <c r="DZ217">
        <v>0</v>
      </c>
      <c r="EA217">
        <v>1</v>
      </c>
      <c r="EB217">
        <v>0</v>
      </c>
      <c r="EC217">
        <v>29</v>
      </c>
      <c r="ED217">
        <v>1</v>
      </c>
      <c r="EE217">
        <v>1</v>
      </c>
      <c r="EF217">
        <v>0</v>
      </c>
      <c r="EG217">
        <v>1</v>
      </c>
      <c r="EH217">
        <v>56</v>
      </c>
      <c r="EI217">
        <v>2</v>
      </c>
      <c r="EJ217">
        <v>1</v>
      </c>
      <c r="EK217">
        <v>1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2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</row>
    <row r="218" spans="1:172" ht="14.25">
      <c r="A218">
        <v>213</v>
      </c>
      <c r="B218" t="str">
        <f>"101303"</f>
        <v>101303</v>
      </c>
      <c r="C218" t="str">
        <f>"Cielądz"</f>
        <v>Cielądz</v>
      </c>
      <c r="D218" t="str">
        <f t="shared" si="42"/>
        <v>Rawski</v>
      </c>
      <c r="E218" t="str">
        <f t="shared" si="39"/>
        <v>łódzkie</v>
      </c>
      <c r="F218">
        <v>1</v>
      </c>
      <c r="G218" t="str">
        <f>"Szkoła Podstawowa, Cielądz 38, 96-214 Cielądz"</f>
        <v>Szkoła Podstawowa, Cielądz 38, 96-214 Cielądz</v>
      </c>
      <c r="H218">
        <v>2099</v>
      </c>
      <c r="I218">
        <v>2099</v>
      </c>
      <c r="J218">
        <v>0</v>
      </c>
      <c r="K218">
        <v>1480</v>
      </c>
      <c r="L218">
        <v>1054</v>
      </c>
      <c r="M218">
        <v>426</v>
      </c>
      <c r="N218">
        <v>426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426</v>
      </c>
      <c r="Z218">
        <v>0</v>
      </c>
      <c r="AA218">
        <v>0</v>
      </c>
      <c r="AB218">
        <v>426</v>
      </c>
      <c r="AC218">
        <v>19</v>
      </c>
      <c r="AD218">
        <v>407</v>
      </c>
      <c r="AE218">
        <v>5</v>
      </c>
      <c r="AF218">
        <v>1</v>
      </c>
      <c r="AG218">
        <v>0</v>
      </c>
      <c r="AH218">
        <v>1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2</v>
      </c>
      <c r="AO218">
        <v>1</v>
      </c>
      <c r="AP218">
        <v>5</v>
      </c>
      <c r="AQ218">
        <v>7</v>
      </c>
      <c r="AR218">
        <v>6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1</v>
      </c>
      <c r="BB218">
        <v>7</v>
      </c>
      <c r="BC218">
        <v>18</v>
      </c>
      <c r="BD218">
        <v>11</v>
      </c>
      <c r="BE218">
        <v>1</v>
      </c>
      <c r="BF218">
        <v>1</v>
      </c>
      <c r="BG218">
        <v>1</v>
      </c>
      <c r="BH218">
        <v>1</v>
      </c>
      <c r="BI218">
        <v>1</v>
      </c>
      <c r="BJ218">
        <v>1</v>
      </c>
      <c r="BK218">
        <v>0</v>
      </c>
      <c r="BL218">
        <v>0</v>
      </c>
      <c r="BM218">
        <v>1</v>
      </c>
      <c r="BN218">
        <v>18</v>
      </c>
      <c r="BO218">
        <v>239</v>
      </c>
      <c r="BP218">
        <v>236</v>
      </c>
      <c r="BQ218">
        <v>1</v>
      </c>
      <c r="BR218">
        <v>0</v>
      </c>
      <c r="BS218">
        <v>0</v>
      </c>
      <c r="BT218">
        <v>0</v>
      </c>
      <c r="BU218">
        <v>2</v>
      </c>
      <c r="BV218">
        <v>0</v>
      </c>
      <c r="BW218">
        <v>0</v>
      </c>
      <c r="BX218">
        <v>0</v>
      </c>
      <c r="BY218">
        <v>0</v>
      </c>
      <c r="BZ218">
        <v>239</v>
      </c>
      <c r="CA218">
        <v>10</v>
      </c>
      <c r="CB218">
        <v>3</v>
      </c>
      <c r="CC218">
        <v>1</v>
      </c>
      <c r="CD218">
        <v>2</v>
      </c>
      <c r="CE218">
        <v>2</v>
      </c>
      <c r="CF218">
        <v>0</v>
      </c>
      <c r="CG218">
        <v>2</v>
      </c>
      <c r="CH218">
        <v>0</v>
      </c>
      <c r="CI218">
        <v>0</v>
      </c>
      <c r="CJ218">
        <v>0</v>
      </c>
      <c r="CK218">
        <v>0</v>
      </c>
      <c r="CL218">
        <v>10</v>
      </c>
      <c r="CM218">
        <v>2</v>
      </c>
      <c r="CN218">
        <v>1</v>
      </c>
      <c r="CO218">
        <v>1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2</v>
      </c>
      <c r="CY218">
        <v>24</v>
      </c>
      <c r="CZ218">
        <v>19</v>
      </c>
      <c r="DA218">
        <v>0</v>
      </c>
      <c r="DB218">
        <v>2</v>
      </c>
      <c r="DC218">
        <v>1</v>
      </c>
      <c r="DD218">
        <v>0</v>
      </c>
      <c r="DE218">
        <v>0</v>
      </c>
      <c r="DF218">
        <v>2</v>
      </c>
      <c r="DG218">
        <v>0</v>
      </c>
      <c r="DH218">
        <v>0</v>
      </c>
      <c r="DI218">
        <v>0</v>
      </c>
      <c r="DJ218">
        <v>24</v>
      </c>
      <c r="DK218">
        <v>30</v>
      </c>
      <c r="DL218">
        <v>13</v>
      </c>
      <c r="DM218">
        <v>3</v>
      </c>
      <c r="DN218">
        <v>1</v>
      </c>
      <c r="DO218">
        <v>0</v>
      </c>
      <c r="DP218">
        <v>0</v>
      </c>
      <c r="DQ218">
        <v>2</v>
      </c>
      <c r="DR218">
        <v>0</v>
      </c>
      <c r="DS218">
        <v>11</v>
      </c>
      <c r="DT218">
        <v>0</v>
      </c>
      <c r="DU218">
        <v>0</v>
      </c>
      <c r="DV218">
        <v>30</v>
      </c>
      <c r="DW218">
        <v>63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63</v>
      </c>
      <c r="ED218">
        <v>0</v>
      </c>
      <c r="EE218">
        <v>0</v>
      </c>
      <c r="EF218">
        <v>0</v>
      </c>
      <c r="EG218">
        <v>0</v>
      </c>
      <c r="EH218">
        <v>63</v>
      </c>
      <c r="EI218">
        <v>1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1</v>
      </c>
      <c r="EP218">
        <v>0</v>
      </c>
      <c r="EQ218">
        <v>0</v>
      </c>
      <c r="ER218">
        <v>1</v>
      </c>
      <c r="ES218">
        <v>7</v>
      </c>
      <c r="ET218">
        <v>2</v>
      </c>
      <c r="EU218">
        <v>4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1</v>
      </c>
      <c r="FB218">
        <v>0</v>
      </c>
      <c r="FC218">
        <v>0</v>
      </c>
      <c r="FD218">
        <v>7</v>
      </c>
      <c r="FE218">
        <v>1</v>
      </c>
      <c r="FF218">
        <v>0</v>
      </c>
      <c r="FG218">
        <v>0</v>
      </c>
      <c r="FH218">
        <v>0</v>
      </c>
      <c r="FI218">
        <v>0</v>
      </c>
      <c r="FJ218">
        <v>1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1</v>
      </c>
    </row>
    <row r="219" spans="1:172" ht="14.25">
      <c r="A219">
        <v>214</v>
      </c>
      <c r="B219" t="str">
        <f>"101303"</f>
        <v>101303</v>
      </c>
      <c r="C219" t="str">
        <f>"Cielądz"</f>
        <v>Cielądz</v>
      </c>
      <c r="D219" t="str">
        <f t="shared" si="42"/>
        <v>Rawski</v>
      </c>
      <c r="E219" t="str">
        <f t="shared" si="39"/>
        <v>łódzkie</v>
      </c>
      <c r="F219">
        <v>2</v>
      </c>
      <c r="G219" t="str">
        <f>"Szkoła Podstawowa, Sierzchowy 59, 96-214 Cielądz"</f>
        <v>Szkoła Podstawowa, Sierzchowy 59, 96-214 Cielądz</v>
      </c>
      <c r="H219">
        <v>872</v>
      </c>
      <c r="I219">
        <v>872</v>
      </c>
      <c r="J219">
        <v>0</v>
      </c>
      <c r="K219">
        <v>610</v>
      </c>
      <c r="L219">
        <v>466</v>
      </c>
      <c r="M219">
        <v>144</v>
      </c>
      <c r="N219">
        <v>144</v>
      </c>
      <c r="O219">
        <v>0</v>
      </c>
      <c r="P219">
        <v>0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144</v>
      </c>
      <c r="Z219">
        <v>0</v>
      </c>
      <c r="AA219">
        <v>0</v>
      </c>
      <c r="AB219">
        <v>144</v>
      </c>
      <c r="AC219">
        <v>11</v>
      </c>
      <c r="AD219">
        <v>133</v>
      </c>
      <c r="AE219">
        <v>6</v>
      </c>
      <c r="AF219">
        <v>2</v>
      </c>
      <c r="AG219">
        <v>0</v>
      </c>
      <c r="AH219">
        <v>1</v>
      </c>
      <c r="AI219">
        <v>0</v>
      </c>
      <c r="AJ219">
        <v>1</v>
      </c>
      <c r="AK219">
        <v>2</v>
      </c>
      <c r="AL219">
        <v>0</v>
      </c>
      <c r="AM219">
        <v>0</v>
      </c>
      <c r="AN219">
        <v>0</v>
      </c>
      <c r="AO219">
        <v>0</v>
      </c>
      <c r="AP219">
        <v>6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2</v>
      </c>
      <c r="BD219">
        <v>0</v>
      </c>
      <c r="BE219">
        <v>0</v>
      </c>
      <c r="BF219">
        <v>0</v>
      </c>
      <c r="BG219">
        <v>0</v>
      </c>
      <c r="BH219">
        <v>1</v>
      </c>
      <c r="BI219">
        <v>0</v>
      </c>
      <c r="BJ219">
        <v>0</v>
      </c>
      <c r="BK219">
        <v>1</v>
      </c>
      <c r="BL219">
        <v>0</v>
      </c>
      <c r="BM219">
        <v>0</v>
      </c>
      <c r="BN219">
        <v>2</v>
      </c>
      <c r="BO219">
        <v>79</v>
      </c>
      <c r="BP219">
        <v>78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1</v>
      </c>
      <c r="BX219">
        <v>0</v>
      </c>
      <c r="BY219">
        <v>0</v>
      </c>
      <c r="BZ219">
        <v>79</v>
      </c>
      <c r="CA219">
        <v>1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1</v>
      </c>
      <c r="CJ219">
        <v>0</v>
      </c>
      <c r="CK219">
        <v>0</v>
      </c>
      <c r="CL219">
        <v>1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4</v>
      </c>
      <c r="CZ219">
        <v>2</v>
      </c>
      <c r="DA219">
        <v>0</v>
      </c>
      <c r="DB219">
        <v>0</v>
      </c>
      <c r="DC219">
        <v>1</v>
      </c>
      <c r="DD219">
        <v>0</v>
      </c>
      <c r="DE219">
        <v>0</v>
      </c>
      <c r="DF219">
        <v>0</v>
      </c>
      <c r="DG219">
        <v>1</v>
      </c>
      <c r="DH219">
        <v>0</v>
      </c>
      <c r="DI219">
        <v>0</v>
      </c>
      <c r="DJ219">
        <v>4</v>
      </c>
      <c r="DK219">
        <v>6</v>
      </c>
      <c r="DL219">
        <v>3</v>
      </c>
      <c r="DM219">
        <v>0</v>
      </c>
      <c r="DN219">
        <v>0</v>
      </c>
      <c r="DO219">
        <v>0</v>
      </c>
      <c r="DP219">
        <v>1</v>
      </c>
      <c r="DQ219">
        <v>0</v>
      </c>
      <c r="DR219">
        <v>0</v>
      </c>
      <c r="DS219">
        <v>2</v>
      </c>
      <c r="DT219">
        <v>0</v>
      </c>
      <c r="DU219">
        <v>0</v>
      </c>
      <c r="DV219">
        <v>6</v>
      </c>
      <c r="DW219">
        <v>33</v>
      </c>
      <c r="DX219">
        <v>2</v>
      </c>
      <c r="DY219">
        <v>6</v>
      </c>
      <c r="DZ219">
        <v>0</v>
      </c>
      <c r="EA219">
        <v>0</v>
      </c>
      <c r="EB219">
        <v>0</v>
      </c>
      <c r="EC219">
        <v>22</v>
      </c>
      <c r="ED219">
        <v>0</v>
      </c>
      <c r="EE219">
        <v>3</v>
      </c>
      <c r="EF219">
        <v>0</v>
      </c>
      <c r="EG219">
        <v>0</v>
      </c>
      <c r="EH219">
        <v>33</v>
      </c>
      <c r="EI219">
        <v>2</v>
      </c>
      <c r="EJ219">
        <v>0</v>
      </c>
      <c r="EK219">
        <v>1</v>
      </c>
      <c r="EL219">
        <v>0</v>
      </c>
      <c r="EM219">
        <v>0</v>
      </c>
      <c r="EN219">
        <v>0</v>
      </c>
      <c r="EO219">
        <v>0</v>
      </c>
      <c r="EP219">
        <v>1</v>
      </c>
      <c r="EQ219">
        <v>0</v>
      </c>
      <c r="ER219">
        <v>2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</row>
    <row r="220" spans="1:172" ht="14.25">
      <c r="A220">
        <v>215</v>
      </c>
      <c r="B220" t="str">
        <f>"101303"</f>
        <v>101303</v>
      </c>
      <c r="C220" t="str">
        <f>"Cielądz"</f>
        <v>Cielądz</v>
      </c>
      <c r="D220" t="str">
        <f t="shared" si="42"/>
        <v>Rawski</v>
      </c>
      <c r="E220" t="str">
        <f t="shared" si="39"/>
        <v>łódzkie</v>
      </c>
      <c r="F220">
        <v>3</v>
      </c>
      <c r="G220" t="str">
        <f>"Budynek byłej Szkoły Podstawowej, Grabice 41A, 96-214 Cielądz"</f>
        <v>Budynek byłej Szkoły Podstawowej, Grabice 41A, 96-214 Cielądz</v>
      </c>
      <c r="H220">
        <v>332</v>
      </c>
      <c r="I220">
        <v>332</v>
      </c>
      <c r="J220">
        <v>0</v>
      </c>
      <c r="K220">
        <v>234</v>
      </c>
      <c r="L220">
        <v>155</v>
      </c>
      <c r="M220">
        <v>79</v>
      </c>
      <c r="N220">
        <v>79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79</v>
      </c>
      <c r="Z220">
        <v>0</v>
      </c>
      <c r="AA220">
        <v>0</v>
      </c>
      <c r="AB220">
        <v>79</v>
      </c>
      <c r="AC220">
        <v>1</v>
      </c>
      <c r="AD220">
        <v>78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4</v>
      </c>
      <c r="AR220">
        <v>3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1</v>
      </c>
      <c r="BB220">
        <v>4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58</v>
      </c>
      <c r="BP220">
        <v>57</v>
      </c>
      <c r="BQ220">
        <v>0</v>
      </c>
      <c r="BR220">
        <v>0</v>
      </c>
      <c r="BS220">
        <v>0</v>
      </c>
      <c r="BT220">
        <v>0</v>
      </c>
      <c r="BU220">
        <v>1</v>
      </c>
      <c r="BV220">
        <v>0</v>
      </c>
      <c r="BW220">
        <v>0</v>
      </c>
      <c r="BX220">
        <v>0</v>
      </c>
      <c r="BY220">
        <v>0</v>
      </c>
      <c r="BZ220">
        <v>58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3</v>
      </c>
      <c r="CZ220">
        <v>3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3</v>
      </c>
      <c r="DK220">
        <v>2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1</v>
      </c>
      <c r="DT220">
        <v>1</v>
      </c>
      <c r="DU220">
        <v>0</v>
      </c>
      <c r="DV220">
        <v>2</v>
      </c>
      <c r="DW220">
        <v>10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10</v>
      </c>
      <c r="ED220">
        <v>0</v>
      </c>
      <c r="EE220">
        <v>0</v>
      </c>
      <c r="EF220">
        <v>0</v>
      </c>
      <c r="EG220">
        <v>0</v>
      </c>
      <c r="EH220">
        <v>10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1</v>
      </c>
      <c r="FF220">
        <v>0</v>
      </c>
      <c r="FG220">
        <v>0</v>
      </c>
      <c r="FH220">
        <v>1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1</v>
      </c>
    </row>
    <row r="221" spans="1:172" ht="14.25">
      <c r="A221">
        <v>216</v>
      </c>
      <c r="B221" t="str">
        <f>"101304"</f>
        <v>101304</v>
      </c>
      <c r="C221" t="str">
        <f>"Rawa Mazowiecka"</f>
        <v>Rawa Mazowiecka</v>
      </c>
      <c r="D221" t="str">
        <f t="shared" si="42"/>
        <v>Rawski</v>
      </c>
      <c r="E221" t="str">
        <f t="shared" si="39"/>
        <v>łódzkie</v>
      </c>
      <c r="F221">
        <v>1</v>
      </c>
      <c r="G221" t="str">
        <f>"Urząd Gminy, al. Konstytucji 3 Maja 32, 96-200 Rawa Mazowiecka"</f>
        <v>Urząd Gminy, al. Konstytucji 3 Maja 32, 96-200 Rawa Mazowiecka</v>
      </c>
      <c r="H221">
        <v>1761</v>
      </c>
      <c r="I221">
        <v>1761</v>
      </c>
      <c r="J221">
        <v>0</v>
      </c>
      <c r="K221">
        <v>1240</v>
      </c>
      <c r="L221">
        <v>961</v>
      </c>
      <c r="M221">
        <v>279</v>
      </c>
      <c r="N221">
        <v>279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279</v>
      </c>
      <c r="Z221">
        <v>0</v>
      </c>
      <c r="AA221">
        <v>0</v>
      </c>
      <c r="AB221">
        <v>279</v>
      </c>
      <c r="AC221">
        <v>9</v>
      </c>
      <c r="AD221">
        <v>270</v>
      </c>
      <c r="AE221">
        <v>3</v>
      </c>
      <c r="AF221">
        <v>0</v>
      </c>
      <c r="AG221">
        <v>1</v>
      </c>
      <c r="AH221">
        <v>1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1</v>
      </c>
      <c r="AP221">
        <v>3</v>
      </c>
      <c r="AQ221">
        <v>5</v>
      </c>
      <c r="AR221">
        <v>1</v>
      </c>
      <c r="AS221">
        <v>0</v>
      </c>
      <c r="AT221">
        <v>0</v>
      </c>
      <c r="AU221">
        <v>0</v>
      </c>
      <c r="AV221">
        <v>2</v>
      </c>
      <c r="AW221">
        <v>0</v>
      </c>
      <c r="AX221">
        <v>0</v>
      </c>
      <c r="AY221">
        <v>0</v>
      </c>
      <c r="AZ221">
        <v>0</v>
      </c>
      <c r="BA221">
        <v>2</v>
      </c>
      <c r="BB221">
        <v>5</v>
      </c>
      <c r="BC221">
        <v>7</v>
      </c>
      <c r="BD221">
        <v>4</v>
      </c>
      <c r="BE221">
        <v>1</v>
      </c>
      <c r="BF221">
        <v>0</v>
      </c>
      <c r="BG221">
        <v>0</v>
      </c>
      <c r="BH221">
        <v>0</v>
      </c>
      <c r="BI221">
        <v>2</v>
      </c>
      <c r="BJ221">
        <v>0</v>
      </c>
      <c r="BK221">
        <v>0</v>
      </c>
      <c r="BL221">
        <v>0</v>
      </c>
      <c r="BM221">
        <v>0</v>
      </c>
      <c r="BN221">
        <v>7</v>
      </c>
      <c r="BO221">
        <v>162</v>
      </c>
      <c r="BP221">
        <v>151</v>
      </c>
      <c r="BQ221">
        <v>0</v>
      </c>
      <c r="BR221">
        <v>7</v>
      </c>
      <c r="BS221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3</v>
      </c>
      <c r="BZ221">
        <v>162</v>
      </c>
      <c r="CA221">
        <v>1</v>
      </c>
      <c r="CB221">
        <v>0</v>
      </c>
      <c r="CC221">
        <v>1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1</v>
      </c>
      <c r="CM221">
        <v>4</v>
      </c>
      <c r="CN221">
        <v>3</v>
      </c>
      <c r="CO221">
        <v>0</v>
      </c>
      <c r="CP221">
        <v>0</v>
      </c>
      <c r="CQ221">
        <v>1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4</v>
      </c>
      <c r="CY221">
        <v>11</v>
      </c>
      <c r="CZ221">
        <v>8</v>
      </c>
      <c r="DA221">
        <v>0</v>
      </c>
      <c r="DB221">
        <v>1</v>
      </c>
      <c r="DC221">
        <v>0</v>
      </c>
      <c r="DD221">
        <v>1</v>
      </c>
      <c r="DE221">
        <v>0</v>
      </c>
      <c r="DF221">
        <v>0</v>
      </c>
      <c r="DG221">
        <v>0</v>
      </c>
      <c r="DH221">
        <v>0</v>
      </c>
      <c r="DI221">
        <v>1</v>
      </c>
      <c r="DJ221">
        <v>11</v>
      </c>
      <c r="DK221">
        <v>28</v>
      </c>
      <c r="DL221">
        <v>20</v>
      </c>
      <c r="DM221">
        <v>5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3</v>
      </c>
      <c r="DT221">
        <v>0</v>
      </c>
      <c r="DU221">
        <v>0</v>
      </c>
      <c r="DV221">
        <v>28</v>
      </c>
      <c r="DW221">
        <v>46</v>
      </c>
      <c r="DX221">
        <v>0</v>
      </c>
      <c r="DY221">
        <v>1</v>
      </c>
      <c r="DZ221">
        <v>0</v>
      </c>
      <c r="EA221">
        <v>0</v>
      </c>
      <c r="EB221">
        <v>0</v>
      </c>
      <c r="EC221">
        <v>45</v>
      </c>
      <c r="ED221">
        <v>0</v>
      </c>
      <c r="EE221">
        <v>0</v>
      </c>
      <c r="EF221">
        <v>0</v>
      </c>
      <c r="EG221">
        <v>0</v>
      </c>
      <c r="EH221">
        <v>46</v>
      </c>
      <c r="EI221">
        <v>3</v>
      </c>
      <c r="EJ221">
        <v>1</v>
      </c>
      <c r="EK221">
        <v>1</v>
      </c>
      <c r="EL221">
        <v>0</v>
      </c>
      <c r="EM221">
        <v>0</v>
      </c>
      <c r="EN221">
        <v>0</v>
      </c>
      <c r="EO221">
        <v>0</v>
      </c>
      <c r="EP221">
        <v>1</v>
      </c>
      <c r="EQ221">
        <v>0</v>
      </c>
      <c r="ER221">
        <v>3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</row>
    <row r="222" spans="1:172" ht="14.25">
      <c r="A222">
        <v>217</v>
      </c>
      <c r="B222" t="str">
        <f>"101304"</f>
        <v>101304</v>
      </c>
      <c r="C222" t="str">
        <f>"Rawa Mazowiecka"</f>
        <v>Rawa Mazowiecka</v>
      </c>
      <c r="D222" t="str">
        <f t="shared" si="42"/>
        <v>Rawski</v>
      </c>
      <c r="E222" t="str">
        <f t="shared" si="39"/>
        <v>łódzkie</v>
      </c>
      <c r="F222">
        <v>2</v>
      </c>
      <c r="G222" t="str">
        <f>"Szkoła Podstawowa w Boguszycach, Garłów 12, 96-200 Rawa Mazowiecka"</f>
        <v>Szkoła Podstawowa w Boguszycach, Garłów 12, 96-200 Rawa Mazowiecka</v>
      </c>
      <c r="H222">
        <v>1856</v>
      </c>
      <c r="I222">
        <v>1856</v>
      </c>
      <c r="J222">
        <v>0</v>
      </c>
      <c r="K222">
        <v>1300</v>
      </c>
      <c r="L222">
        <v>934</v>
      </c>
      <c r="M222">
        <v>366</v>
      </c>
      <c r="N222">
        <v>366</v>
      </c>
      <c r="O222">
        <v>0</v>
      </c>
      <c r="P222">
        <v>0</v>
      </c>
      <c r="Q222">
        <v>4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366</v>
      </c>
      <c r="Z222">
        <v>0</v>
      </c>
      <c r="AA222">
        <v>0</v>
      </c>
      <c r="AB222">
        <v>366</v>
      </c>
      <c r="AC222">
        <v>12</v>
      </c>
      <c r="AD222">
        <v>354</v>
      </c>
      <c r="AE222">
        <v>5</v>
      </c>
      <c r="AF222">
        <v>0</v>
      </c>
      <c r="AG222">
        <v>3</v>
      </c>
      <c r="AH222">
        <v>0</v>
      </c>
      <c r="AI222">
        <v>0</v>
      </c>
      <c r="AJ222">
        <v>0</v>
      </c>
      <c r="AK222">
        <v>0</v>
      </c>
      <c r="AL222">
        <v>1</v>
      </c>
      <c r="AM222">
        <v>0</v>
      </c>
      <c r="AN222">
        <v>0</v>
      </c>
      <c r="AO222">
        <v>1</v>
      </c>
      <c r="AP222">
        <v>5</v>
      </c>
      <c r="AQ222">
        <v>1</v>
      </c>
      <c r="AR222">
        <v>0</v>
      </c>
      <c r="AS222">
        <v>0</v>
      </c>
      <c r="AT222">
        <v>1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1</v>
      </c>
      <c r="BC222">
        <v>7</v>
      </c>
      <c r="BD222">
        <v>3</v>
      </c>
      <c r="BE222">
        <v>1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3</v>
      </c>
      <c r="BN222">
        <v>7</v>
      </c>
      <c r="BO222">
        <v>129</v>
      </c>
      <c r="BP222">
        <v>121</v>
      </c>
      <c r="BQ222">
        <v>3</v>
      </c>
      <c r="BR222">
        <v>0</v>
      </c>
      <c r="BS222">
        <v>0</v>
      </c>
      <c r="BT222">
        <v>0</v>
      </c>
      <c r="BU222">
        <v>1</v>
      </c>
      <c r="BV222">
        <v>1</v>
      </c>
      <c r="BW222">
        <v>1</v>
      </c>
      <c r="BX222">
        <v>1</v>
      </c>
      <c r="BY222">
        <v>1</v>
      </c>
      <c r="BZ222">
        <v>129</v>
      </c>
      <c r="CA222">
        <v>1</v>
      </c>
      <c r="CB222">
        <v>0</v>
      </c>
      <c r="CC222">
        <v>1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1</v>
      </c>
      <c r="CM222">
        <v>4</v>
      </c>
      <c r="CN222">
        <v>1</v>
      </c>
      <c r="CO222">
        <v>0</v>
      </c>
      <c r="CP222">
        <v>0</v>
      </c>
      <c r="CQ222">
        <v>0</v>
      </c>
      <c r="CR222">
        <v>2</v>
      </c>
      <c r="CS222">
        <v>1</v>
      </c>
      <c r="CT222">
        <v>0</v>
      </c>
      <c r="CU222">
        <v>0</v>
      </c>
      <c r="CV222">
        <v>0</v>
      </c>
      <c r="CW222">
        <v>0</v>
      </c>
      <c r="CX222">
        <v>4</v>
      </c>
      <c r="CY222">
        <v>18</v>
      </c>
      <c r="CZ222">
        <v>9</v>
      </c>
      <c r="DA222">
        <v>2</v>
      </c>
      <c r="DB222">
        <v>0</v>
      </c>
      <c r="DC222">
        <v>1</v>
      </c>
      <c r="DD222">
        <v>0</v>
      </c>
      <c r="DE222">
        <v>1</v>
      </c>
      <c r="DF222">
        <v>2</v>
      </c>
      <c r="DG222">
        <v>0</v>
      </c>
      <c r="DH222">
        <v>0</v>
      </c>
      <c r="DI222">
        <v>3</v>
      </c>
      <c r="DJ222">
        <v>18</v>
      </c>
      <c r="DK222">
        <v>33</v>
      </c>
      <c r="DL222">
        <v>19</v>
      </c>
      <c r="DM222">
        <v>3</v>
      </c>
      <c r="DN222">
        <v>2</v>
      </c>
      <c r="DO222">
        <v>0</v>
      </c>
      <c r="DP222">
        <v>0</v>
      </c>
      <c r="DQ222">
        <v>2</v>
      </c>
      <c r="DR222">
        <v>0</v>
      </c>
      <c r="DS222">
        <v>6</v>
      </c>
      <c r="DT222">
        <v>1</v>
      </c>
      <c r="DU222">
        <v>0</v>
      </c>
      <c r="DV222">
        <v>33</v>
      </c>
      <c r="DW222">
        <v>150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148</v>
      </c>
      <c r="ED222">
        <v>1</v>
      </c>
      <c r="EE222">
        <v>0</v>
      </c>
      <c r="EF222">
        <v>0</v>
      </c>
      <c r="EG222">
        <v>1</v>
      </c>
      <c r="EH222">
        <v>150</v>
      </c>
      <c r="EI222">
        <v>1</v>
      </c>
      <c r="EJ222">
        <v>0</v>
      </c>
      <c r="EK222">
        <v>1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1</v>
      </c>
      <c r="ES222">
        <v>3</v>
      </c>
      <c r="ET222">
        <v>0</v>
      </c>
      <c r="EU222">
        <v>3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3</v>
      </c>
      <c r="FE222">
        <v>2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1</v>
      </c>
      <c r="FL222">
        <v>0</v>
      </c>
      <c r="FM222">
        <v>0</v>
      </c>
      <c r="FN222">
        <v>0</v>
      </c>
      <c r="FO222">
        <v>1</v>
      </c>
      <c r="FP222">
        <v>2</v>
      </c>
    </row>
    <row r="223" spans="1:172" ht="14.25">
      <c r="A223">
        <v>218</v>
      </c>
      <c r="B223" t="str">
        <f>"101304"</f>
        <v>101304</v>
      </c>
      <c r="C223" t="str">
        <f>"Rawa Mazowiecka"</f>
        <v>Rawa Mazowiecka</v>
      </c>
      <c r="D223" t="str">
        <f t="shared" si="42"/>
        <v>Rawski</v>
      </c>
      <c r="E223" t="str">
        <f t="shared" si="39"/>
        <v>łódzkie</v>
      </c>
      <c r="F223">
        <v>3</v>
      </c>
      <c r="G223" t="str">
        <f>"Szkoła Podstawowa, Stara Wojska 30B, 96-200 Rawa Mazowiecka"</f>
        <v>Szkoła Podstawowa, Stara Wojska 30B, 96-200 Rawa Mazowiecka</v>
      </c>
      <c r="H223">
        <v>894</v>
      </c>
      <c r="I223">
        <v>894</v>
      </c>
      <c r="J223">
        <v>0</v>
      </c>
      <c r="K223">
        <v>630</v>
      </c>
      <c r="L223">
        <v>503</v>
      </c>
      <c r="M223">
        <v>127</v>
      </c>
      <c r="N223">
        <v>127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127</v>
      </c>
      <c r="Z223">
        <v>0</v>
      </c>
      <c r="AA223">
        <v>0</v>
      </c>
      <c r="AB223">
        <v>127</v>
      </c>
      <c r="AC223">
        <v>4</v>
      </c>
      <c r="AD223">
        <v>123</v>
      </c>
      <c r="AE223">
        <v>3</v>
      </c>
      <c r="AF223">
        <v>0</v>
      </c>
      <c r="AG223">
        <v>1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O223">
        <v>1</v>
      </c>
      <c r="AP223">
        <v>3</v>
      </c>
      <c r="AQ223">
        <v>1</v>
      </c>
      <c r="AR223">
        <v>1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1</v>
      </c>
      <c r="BC223">
        <v>6</v>
      </c>
      <c r="BD223">
        <v>0</v>
      </c>
      <c r="BE223">
        <v>2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4</v>
      </c>
      <c r="BN223">
        <v>6</v>
      </c>
      <c r="BO223">
        <v>47</v>
      </c>
      <c r="BP223">
        <v>47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47</v>
      </c>
      <c r="CA223">
        <v>1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1</v>
      </c>
      <c r="CJ223">
        <v>0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9</v>
      </c>
      <c r="CZ223">
        <v>5</v>
      </c>
      <c r="DA223">
        <v>0</v>
      </c>
      <c r="DB223">
        <v>1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3</v>
      </c>
      <c r="DI223">
        <v>0</v>
      </c>
      <c r="DJ223">
        <v>9</v>
      </c>
      <c r="DK223">
        <v>8</v>
      </c>
      <c r="DL223">
        <v>0</v>
      </c>
      <c r="DM223">
        <v>5</v>
      </c>
      <c r="DN223">
        <v>0</v>
      </c>
      <c r="DO223">
        <v>2</v>
      </c>
      <c r="DP223">
        <v>0</v>
      </c>
      <c r="DQ223">
        <v>0</v>
      </c>
      <c r="DR223">
        <v>0</v>
      </c>
      <c r="DS223">
        <v>1</v>
      </c>
      <c r="DT223">
        <v>0</v>
      </c>
      <c r="DU223">
        <v>0</v>
      </c>
      <c r="DV223">
        <v>8</v>
      </c>
      <c r="DW223">
        <v>47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46</v>
      </c>
      <c r="ED223">
        <v>1</v>
      </c>
      <c r="EE223">
        <v>0</v>
      </c>
      <c r="EF223">
        <v>0</v>
      </c>
      <c r="EG223">
        <v>0</v>
      </c>
      <c r="EH223">
        <v>47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1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1</v>
      </c>
      <c r="FM223">
        <v>0</v>
      </c>
      <c r="FN223">
        <v>0</v>
      </c>
      <c r="FO223">
        <v>0</v>
      </c>
      <c r="FP223">
        <v>1</v>
      </c>
    </row>
    <row r="224" spans="1:172" ht="14.25">
      <c r="A224">
        <v>219</v>
      </c>
      <c r="B224" t="str">
        <f>"101304"</f>
        <v>101304</v>
      </c>
      <c r="C224" t="str">
        <f>"Rawa Mazowiecka"</f>
        <v>Rawa Mazowiecka</v>
      </c>
      <c r="D224" t="str">
        <f t="shared" si="42"/>
        <v>Rawski</v>
      </c>
      <c r="E224" t="str">
        <f t="shared" si="39"/>
        <v>łódzkie</v>
      </c>
      <c r="F224">
        <v>4</v>
      </c>
      <c r="G224" t="str">
        <f>"Szkoła Podstawowa w Kurzeszynie, Nowy Kurzeszyn 12, 96-200 Rawa Mazowiecka"</f>
        <v>Szkoła Podstawowa w Kurzeszynie, Nowy Kurzeszyn 12, 96-200 Rawa Mazowiecka</v>
      </c>
      <c r="H224">
        <v>1385</v>
      </c>
      <c r="I224">
        <v>1385</v>
      </c>
      <c r="J224">
        <v>0</v>
      </c>
      <c r="K224">
        <v>980</v>
      </c>
      <c r="L224">
        <v>688</v>
      </c>
      <c r="M224">
        <v>292</v>
      </c>
      <c r="N224">
        <v>292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292</v>
      </c>
      <c r="Z224">
        <v>0</v>
      </c>
      <c r="AA224">
        <v>0</v>
      </c>
      <c r="AB224">
        <v>292</v>
      </c>
      <c r="AC224">
        <v>14</v>
      </c>
      <c r="AD224">
        <v>278</v>
      </c>
      <c r="AE224">
        <v>1</v>
      </c>
      <c r="AF224">
        <v>1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</v>
      </c>
      <c r="AQ224">
        <v>6</v>
      </c>
      <c r="AR224">
        <v>0</v>
      </c>
      <c r="AS224">
        <v>0</v>
      </c>
      <c r="AT224">
        <v>0</v>
      </c>
      <c r="AU224">
        <v>0</v>
      </c>
      <c r="AV224">
        <v>3</v>
      </c>
      <c r="AW224">
        <v>1</v>
      </c>
      <c r="AX224">
        <v>0</v>
      </c>
      <c r="AY224">
        <v>2</v>
      </c>
      <c r="AZ224">
        <v>0</v>
      </c>
      <c r="BA224">
        <v>0</v>
      </c>
      <c r="BB224">
        <v>6</v>
      </c>
      <c r="BC224">
        <v>10</v>
      </c>
      <c r="BD224">
        <v>7</v>
      </c>
      <c r="BE224">
        <v>0</v>
      </c>
      <c r="BF224">
        <v>1</v>
      </c>
      <c r="BG224">
        <v>0</v>
      </c>
      <c r="BH224">
        <v>1</v>
      </c>
      <c r="BI224">
        <v>0</v>
      </c>
      <c r="BJ224">
        <v>0</v>
      </c>
      <c r="BK224">
        <v>0</v>
      </c>
      <c r="BL224">
        <v>0</v>
      </c>
      <c r="BM224">
        <v>1</v>
      </c>
      <c r="BN224">
        <v>10</v>
      </c>
      <c r="BO224">
        <v>155</v>
      </c>
      <c r="BP224">
        <v>147</v>
      </c>
      <c r="BQ224">
        <v>0</v>
      </c>
      <c r="BR224">
        <v>2</v>
      </c>
      <c r="BS224">
        <v>0</v>
      </c>
      <c r="BT224">
        <v>0</v>
      </c>
      <c r="BU224">
        <v>4</v>
      </c>
      <c r="BV224">
        <v>1</v>
      </c>
      <c r="BW224">
        <v>0</v>
      </c>
      <c r="BX224">
        <v>1</v>
      </c>
      <c r="BY224">
        <v>0</v>
      </c>
      <c r="BZ224">
        <v>155</v>
      </c>
      <c r="CA224">
        <v>1</v>
      </c>
      <c r="CB224">
        <v>1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1</v>
      </c>
      <c r="CM224">
        <v>9</v>
      </c>
      <c r="CN224">
        <v>6</v>
      </c>
      <c r="CO224">
        <v>1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2</v>
      </c>
      <c r="CX224">
        <v>9</v>
      </c>
      <c r="CY224">
        <v>18</v>
      </c>
      <c r="CZ224">
        <v>14</v>
      </c>
      <c r="DA224">
        <v>0</v>
      </c>
      <c r="DB224">
        <v>0</v>
      </c>
      <c r="DC224">
        <v>1</v>
      </c>
      <c r="DD224">
        <v>0</v>
      </c>
      <c r="DE224">
        <v>0</v>
      </c>
      <c r="DF224">
        <v>0</v>
      </c>
      <c r="DG224">
        <v>2</v>
      </c>
      <c r="DH224">
        <v>0</v>
      </c>
      <c r="DI224">
        <v>1</v>
      </c>
      <c r="DJ224">
        <v>18</v>
      </c>
      <c r="DK224">
        <v>26</v>
      </c>
      <c r="DL224">
        <v>14</v>
      </c>
      <c r="DM224">
        <v>6</v>
      </c>
      <c r="DN224">
        <v>1</v>
      </c>
      <c r="DO224">
        <v>1</v>
      </c>
      <c r="DP224">
        <v>0</v>
      </c>
      <c r="DQ224">
        <v>0</v>
      </c>
      <c r="DR224">
        <v>0</v>
      </c>
      <c r="DS224">
        <v>4</v>
      </c>
      <c r="DT224">
        <v>0</v>
      </c>
      <c r="DU224">
        <v>0</v>
      </c>
      <c r="DV224">
        <v>26</v>
      </c>
      <c r="DW224">
        <v>46</v>
      </c>
      <c r="DX224">
        <v>4</v>
      </c>
      <c r="DY224">
        <v>3</v>
      </c>
      <c r="DZ224">
        <v>0</v>
      </c>
      <c r="EA224">
        <v>0</v>
      </c>
      <c r="EB224">
        <v>0</v>
      </c>
      <c r="EC224">
        <v>37</v>
      </c>
      <c r="ED224">
        <v>0</v>
      </c>
      <c r="EE224">
        <v>1</v>
      </c>
      <c r="EF224">
        <v>1</v>
      </c>
      <c r="EG224">
        <v>0</v>
      </c>
      <c r="EH224">
        <v>46</v>
      </c>
      <c r="EI224">
        <v>1</v>
      </c>
      <c r="EJ224">
        <v>0</v>
      </c>
      <c r="EK224">
        <v>1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1</v>
      </c>
      <c r="ES224">
        <v>3</v>
      </c>
      <c r="ET224">
        <v>2</v>
      </c>
      <c r="EU224">
        <v>1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3</v>
      </c>
      <c r="FE224">
        <v>2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1</v>
      </c>
      <c r="FM224">
        <v>0</v>
      </c>
      <c r="FN224">
        <v>1</v>
      </c>
      <c r="FO224">
        <v>0</v>
      </c>
      <c r="FP224">
        <v>2</v>
      </c>
    </row>
    <row r="225" spans="1:172" ht="14.25">
      <c r="A225">
        <v>220</v>
      </c>
      <c r="B225" t="str">
        <f>"101304"</f>
        <v>101304</v>
      </c>
      <c r="C225" t="str">
        <f>"Rawa Mazowiecka"</f>
        <v>Rawa Mazowiecka</v>
      </c>
      <c r="D225" t="str">
        <f t="shared" si="42"/>
        <v>Rawski</v>
      </c>
      <c r="E225" t="str">
        <f t="shared" si="39"/>
        <v>łódzkie</v>
      </c>
      <c r="F225">
        <v>5</v>
      </c>
      <c r="G225" t="str">
        <f>"Szkoła Podstawowa, Konopnica 76, 96-200 Rawa Mazowiecka"</f>
        <v>Szkoła Podstawowa, Konopnica 76, 96-200 Rawa Mazowiecka</v>
      </c>
      <c r="H225">
        <v>1028</v>
      </c>
      <c r="I225">
        <v>1028</v>
      </c>
      <c r="J225">
        <v>0</v>
      </c>
      <c r="K225">
        <v>720</v>
      </c>
      <c r="L225">
        <v>511</v>
      </c>
      <c r="M225">
        <v>209</v>
      </c>
      <c r="N225">
        <v>209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209</v>
      </c>
      <c r="Z225">
        <v>0</v>
      </c>
      <c r="AA225">
        <v>0</v>
      </c>
      <c r="AB225">
        <v>209</v>
      </c>
      <c r="AC225">
        <v>6</v>
      </c>
      <c r="AD225">
        <v>203</v>
      </c>
      <c r="AE225">
        <v>2</v>
      </c>
      <c r="AF225">
        <v>0</v>
      </c>
      <c r="AG225">
        <v>0</v>
      </c>
      <c r="AH225">
        <v>1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1</v>
      </c>
      <c r="AO225">
        <v>0</v>
      </c>
      <c r="AP225">
        <v>2</v>
      </c>
      <c r="AQ225">
        <v>3</v>
      </c>
      <c r="AR225">
        <v>1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1</v>
      </c>
      <c r="AY225">
        <v>0</v>
      </c>
      <c r="AZ225">
        <v>0</v>
      </c>
      <c r="BA225">
        <v>1</v>
      </c>
      <c r="BB225">
        <v>3</v>
      </c>
      <c r="BC225">
        <v>7</v>
      </c>
      <c r="BD225">
        <v>3</v>
      </c>
      <c r="BE225">
        <v>0</v>
      </c>
      <c r="BF225">
        <v>0</v>
      </c>
      <c r="BG225">
        <v>1</v>
      </c>
      <c r="BH225">
        <v>0</v>
      </c>
      <c r="BI225">
        <v>1</v>
      </c>
      <c r="BJ225">
        <v>0</v>
      </c>
      <c r="BK225">
        <v>0</v>
      </c>
      <c r="BL225">
        <v>0</v>
      </c>
      <c r="BM225">
        <v>2</v>
      </c>
      <c r="BN225">
        <v>7</v>
      </c>
      <c r="BO225">
        <v>126</v>
      </c>
      <c r="BP225">
        <v>120</v>
      </c>
      <c r="BQ225">
        <v>0</v>
      </c>
      <c r="BR225">
        <v>5</v>
      </c>
      <c r="BS225">
        <v>1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126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4</v>
      </c>
      <c r="CN225">
        <v>4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4</v>
      </c>
      <c r="CY225">
        <v>21</v>
      </c>
      <c r="CZ225">
        <v>15</v>
      </c>
      <c r="DA225">
        <v>0</v>
      </c>
      <c r="DB225">
        <v>2</v>
      </c>
      <c r="DC225">
        <v>0</v>
      </c>
      <c r="DD225">
        <v>1</v>
      </c>
      <c r="DE225">
        <v>0</v>
      </c>
      <c r="DF225">
        <v>1</v>
      </c>
      <c r="DG225">
        <v>0</v>
      </c>
      <c r="DH225">
        <v>1</v>
      </c>
      <c r="DI225">
        <v>1</v>
      </c>
      <c r="DJ225">
        <v>21</v>
      </c>
      <c r="DK225">
        <v>17</v>
      </c>
      <c r="DL225">
        <v>9</v>
      </c>
      <c r="DM225">
        <v>3</v>
      </c>
      <c r="DN225">
        <v>1</v>
      </c>
      <c r="DO225">
        <v>1</v>
      </c>
      <c r="DP225">
        <v>0</v>
      </c>
      <c r="DQ225">
        <v>0</v>
      </c>
      <c r="DR225">
        <v>0</v>
      </c>
      <c r="DS225">
        <v>3</v>
      </c>
      <c r="DT225">
        <v>0</v>
      </c>
      <c r="DU225">
        <v>0</v>
      </c>
      <c r="DV225">
        <v>17</v>
      </c>
      <c r="DW225">
        <v>22</v>
      </c>
      <c r="DX225">
        <v>0</v>
      </c>
      <c r="DY225">
        <v>1</v>
      </c>
      <c r="DZ225">
        <v>0</v>
      </c>
      <c r="EA225">
        <v>0</v>
      </c>
      <c r="EB225">
        <v>0</v>
      </c>
      <c r="EC225">
        <v>20</v>
      </c>
      <c r="ED225">
        <v>1</v>
      </c>
      <c r="EE225">
        <v>0</v>
      </c>
      <c r="EF225">
        <v>0</v>
      </c>
      <c r="EG225">
        <v>0</v>
      </c>
      <c r="EH225">
        <v>22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1</v>
      </c>
      <c r="FF225">
        <v>0</v>
      </c>
      <c r="FG225">
        <v>0</v>
      </c>
      <c r="FH225">
        <v>0</v>
      </c>
      <c r="FI225">
        <v>1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1</v>
      </c>
    </row>
    <row r="226" spans="1:172" ht="14.25">
      <c r="A226">
        <v>221</v>
      </c>
      <c r="B226" t="str">
        <f>"101305"</f>
        <v>101305</v>
      </c>
      <c r="C226" t="str">
        <f>"Regnów"</f>
        <v>Regnów</v>
      </c>
      <c r="D226" t="str">
        <f t="shared" si="42"/>
        <v>Rawski</v>
      </c>
      <c r="E226" t="str">
        <f t="shared" si="39"/>
        <v>łódzkie</v>
      </c>
      <c r="F226">
        <v>1</v>
      </c>
      <c r="G226" t="str">
        <f>"Gminna Biblioteka Publiczna, Regnów 96, 96-232 Regnów"</f>
        <v>Gminna Biblioteka Publiczna, Regnów 96, 96-232 Regnów</v>
      </c>
      <c r="H226">
        <v>1498</v>
      </c>
      <c r="I226">
        <v>1498</v>
      </c>
      <c r="J226">
        <v>0</v>
      </c>
      <c r="K226">
        <v>1060</v>
      </c>
      <c r="L226">
        <v>693</v>
      </c>
      <c r="M226">
        <v>367</v>
      </c>
      <c r="N226">
        <v>367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367</v>
      </c>
      <c r="Z226">
        <v>0</v>
      </c>
      <c r="AA226">
        <v>0</v>
      </c>
      <c r="AB226">
        <v>367</v>
      </c>
      <c r="AC226">
        <v>14</v>
      </c>
      <c r="AD226">
        <v>353</v>
      </c>
      <c r="AE226">
        <v>2</v>
      </c>
      <c r="AF226">
        <v>2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2</v>
      </c>
      <c r="AQ226">
        <v>3</v>
      </c>
      <c r="AR226">
        <v>2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1</v>
      </c>
      <c r="BA226">
        <v>0</v>
      </c>
      <c r="BB226">
        <v>3</v>
      </c>
      <c r="BC226">
        <v>6</v>
      </c>
      <c r="BD226">
        <v>3</v>
      </c>
      <c r="BE226">
        <v>1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2</v>
      </c>
      <c r="BN226">
        <v>6</v>
      </c>
      <c r="BO226">
        <v>255</v>
      </c>
      <c r="BP226">
        <v>253</v>
      </c>
      <c r="BQ226">
        <v>1</v>
      </c>
      <c r="BR226">
        <v>1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255</v>
      </c>
      <c r="CA226">
        <v>1</v>
      </c>
      <c r="CB226">
        <v>1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1</v>
      </c>
      <c r="CM226">
        <v>1</v>
      </c>
      <c r="CN226">
        <v>0</v>
      </c>
      <c r="CO226">
        <v>1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1</v>
      </c>
      <c r="CY226">
        <v>5</v>
      </c>
      <c r="CZ226">
        <v>4</v>
      </c>
      <c r="DA226">
        <v>1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5</v>
      </c>
      <c r="DK226">
        <v>7</v>
      </c>
      <c r="DL226">
        <v>4</v>
      </c>
      <c r="DM226">
        <v>3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7</v>
      </c>
      <c r="DW226">
        <v>71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69</v>
      </c>
      <c r="ED226">
        <v>0</v>
      </c>
      <c r="EE226">
        <v>0</v>
      </c>
      <c r="EF226">
        <v>1</v>
      </c>
      <c r="EG226">
        <v>1</v>
      </c>
      <c r="EH226">
        <v>71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2</v>
      </c>
      <c r="FF226">
        <v>1</v>
      </c>
      <c r="FG226">
        <v>0</v>
      </c>
      <c r="FH226">
        <v>0</v>
      </c>
      <c r="FI226">
        <v>0</v>
      </c>
      <c r="FJ226">
        <v>1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2</v>
      </c>
    </row>
    <row r="227" spans="1:172" ht="14.25">
      <c r="A227">
        <v>222</v>
      </c>
      <c r="B227" t="str">
        <f>"101306"</f>
        <v>101306</v>
      </c>
      <c r="C227" t="str">
        <f>"Sadkowice"</f>
        <v>Sadkowice</v>
      </c>
      <c r="D227" t="str">
        <f t="shared" si="42"/>
        <v>Rawski</v>
      </c>
      <c r="E227" t="str">
        <f t="shared" si="39"/>
        <v>łódzkie</v>
      </c>
      <c r="F227">
        <v>1</v>
      </c>
      <c r="G227" t="str">
        <f>"Urząd Gminy, Sadkowice 129A, 96-206 Sadkowice"</f>
        <v>Urząd Gminy, Sadkowice 129A, 96-206 Sadkowice</v>
      </c>
      <c r="H227">
        <v>1920</v>
      </c>
      <c r="I227">
        <v>1920</v>
      </c>
      <c r="J227">
        <v>0</v>
      </c>
      <c r="K227">
        <v>1350</v>
      </c>
      <c r="L227">
        <v>1043</v>
      </c>
      <c r="M227">
        <v>307</v>
      </c>
      <c r="N227">
        <v>307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307</v>
      </c>
      <c r="Z227">
        <v>0</v>
      </c>
      <c r="AA227">
        <v>0</v>
      </c>
      <c r="AB227">
        <v>307</v>
      </c>
      <c r="AC227">
        <v>17</v>
      </c>
      <c r="AD227">
        <v>290</v>
      </c>
      <c r="AE227">
        <v>3</v>
      </c>
      <c r="AF227">
        <v>1</v>
      </c>
      <c r="AG227">
        <v>1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1</v>
      </c>
      <c r="AP227">
        <v>3</v>
      </c>
      <c r="AQ227">
        <v>1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1</v>
      </c>
      <c r="BB227">
        <v>1</v>
      </c>
      <c r="BC227">
        <v>6</v>
      </c>
      <c r="BD227">
        <v>1</v>
      </c>
      <c r="BE227">
        <v>3</v>
      </c>
      <c r="BF227">
        <v>1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1</v>
      </c>
      <c r="BM227">
        <v>0</v>
      </c>
      <c r="BN227">
        <v>6</v>
      </c>
      <c r="BO227">
        <v>145</v>
      </c>
      <c r="BP227">
        <v>137</v>
      </c>
      <c r="BQ227">
        <v>2</v>
      </c>
      <c r="BR227">
        <v>0</v>
      </c>
      <c r="BS227">
        <v>4</v>
      </c>
      <c r="BT227">
        <v>0</v>
      </c>
      <c r="BU227">
        <v>1</v>
      </c>
      <c r="BV227">
        <v>0</v>
      </c>
      <c r="BW227">
        <v>0</v>
      </c>
      <c r="BX227">
        <v>0</v>
      </c>
      <c r="BY227">
        <v>1</v>
      </c>
      <c r="BZ227">
        <v>145</v>
      </c>
      <c r="CA227">
        <v>2</v>
      </c>
      <c r="CB227">
        <v>0</v>
      </c>
      <c r="CC227">
        <v>1</v>
      </c>
      <c r="CD227">
        <v>1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2</v>
      </c>
      <c r="CM227">
        <v>4</v>
      </c>
      <c r="CN227">
        <v>2</v>
      </c>
      <c r="CO227">
        <v>1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1</v>
      </c>
      <c r="CX227">
        <v>4</v>
      </c>
      <c r="CY227">
        <v>11</v>
      </c>
      <c r="CZ227">
        <v>7</v>
      </c>
      <c r="DA227">
        <v>0</v>
      </c>
      <c r="DB227">
        <v>0</v>
      </c>
      <c r="DC227">
        <v>1</v>
      </c>
      <c r="DD227">
        <v>0</v>
      </c>
      <c r="DE227">
        <v>0</v>
      </c>
      <c r="DF227">
        <v>0</v>
      </c>
      <c r="DG227">
        <v>1</v>
      </c>
      <c r="DH227">
        <v>2</v>
      </c>
      <c r="DI227">
        <v>0</v>
      </c>
      <c r="DJ227">
        <v>11</v>
      </c>
      <c r="DK227">
        <v>21</v>
      </c>
      <c r="DL227">
        <v>8</v>
      </c>
      <c r="DM227">
        <v>2</v>
      </c>
      <c r="DN227">
        <v>3</v>
      </c>
      <c r="DO227">
        <v>0</v>
      </c>
      <c r="DP227">
        <v>1</v>
      </c>
      <c r="DQ227">
        <v>1</v>
      </c>
      <c r="DR227">
        <v>1</v>
      </c>
      <c r="DS227">
        <v>3</v>
      </c>
      <c r="DT227">
        <v>0</v>
      </c>
      <c r="DU227">
        <v>2</v>
      </c>
      <c r="DV227">
        <v>21</v>
      </c>
      <c r="DW227">
        <v>95</v>
      </c>
      <c r="DX227">
        <v>7</v>
      </c>
      <c r="DY227">
        <v>14</v>
      </c>
      <c r="DZ227">
        <v>0</v>
      </c>
      <c r="EA227">
        <v>1</v>
      </c>
      <c r="EB227">
        <v>0</v>
      </c>
      <c r="EC227">
        <v>69</v>
      </c>
      <c r="ED227">
        <v>1</v>
      </c>
      <c r="EE227">
        <v>1</v>
      </c>
      <c r="EF227">
        <v>0</v>
      </c>
      <c r="EG227">
        <v>2</v>
      </c>
      <c r="EH227">
        <v>95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2</v>
      </c>
      <c r="ET227">
        <v>0</v>
      </c>
      <c r="EU227">
        <v>0</v>
      </c>
      <c r="EV227">
        <v>1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1</v>
      </c>
      <c r="FD227">
        <v>2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</row>
    <row r="228" spans="1:172" ht="14.25">
      <c r="A228">
        <v>223</v>
      </c>
      <c r="B228" t="str">
        <f>"101306"</f>
        <v>101306</v>
      </c>
      <c r="C228" t="str">
        <f>"Sadkowice"</f>
        <v>Sadkowice</v>
      </c>
      <c r="D228" t="str">
        <f t="shared" si="42"/>
        <v>Rawski</v>
      </c>
      <c r="E228" t="str">
        <f t="shared" si="39"/>
        <v>łódzkie</v>
      </c>
      <c r="F228">
        <v>2</v>
      </c>
      <c r="G228" t="str">
        <f>"Gimnazjum, Lubania 30, 96-208 Lubania"</f>
        <v>Gimnazjum, Lubania 30, 96-208 Lubania</v>
      </c>
      <c r="H228">
        <v>1519</v>
      </c>
      <c r="I228">
        <v>1519</v>
      </c>
      <c r="J228">
        <v>0</v>
      </c>
      <c r="K228">
        <v>1060</v>
      </c>
      <c r="L228">
        <v>784</v>
      </c>
      <c r="M228">
        <v>276</v>
      </c>
      <c r="N228">
        <v>276</v>
      </c>
      <c r="O228">
        <v>0</v>
      </c>
      <c r="P228">
        <v>0</v>
      </c>
      <c r="Q228">
        <v>4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276</v>
      </c>
      <c r="Z228">
        <v>0</v>
      </c>
      <c r="AA228">
        <v>0</v>
      </c>
      <c r="AB228">
        <v>276</v>
      </c>
      <c r="AC228">
        <v>7</v>
      </c>
      <c r="AD228">
        <v>269</v>
      </c>
      <c r="AE228">
        <v>4</v>
      </c>
      <c r="AF228">
        <v>1</v>
      </c>
      <c r="AG228">
        <v>1</v>
      </c>
      <c r="AH228">
        <v>1</v>
      </c>
      <c r="AI228">
        <v>0</v>
      </c>
      <c r="AJ228">
        <v>1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4</v>
      </c>
      <c r="AQ228">
        <v>2</v>
      </c>
      <c r="AR228">
        <v>2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2</v>
      </c>
      <c r="BC228">
        <v>6</v>
      </c>
      <c r="BD228">
        <v>2</v>
      </c>
      <c r="BE228">
        <v>1</v>
      </c>
      <c r="BF228">
        <v>0</v>
      </c>
      <c r="BG228">
        <v>1</v>
      </c>
      <c r="BH228">
        <v>0</v>
      </c>
      <c r="BI228">
        <v>1</v>
      </c>
      <c r="BJ228">
        <v>0</v>
      </c>
      <c r="BK228">
        <v>0</v>
      </c>
      <c r="BL228">
        <v>0</v>
      </c>
      <c r="BM228">
        <v>1</v>
      </c>
      <c r="BN228">
        <v>6</v>
      </c>
      <c r="BO228">
        <v>133</v>
      </c>
      <c r="BP228">
        <v>125</v>
      </c>
      <c r="BQ228">
        <v>3</v>
      </c>
      <c r="BR228">
        <v>0</v>
      </c>
      <c r="BS228">
        <v>2</v>
      </c>
      <c r="BT228">
        <v>0</v>
      </c>
      <c r="BU228">
        <v>0</v>
      </c>
      <c r="BV228">
        <v>1</v>
      </c>
      <c r="BW228">
        <v>0</v>
      </c>
      <c r="BX228">
        <v>0</v>
      </c>
      <c r="BY228">
        <v>2</v>
      </c>
      <c r="BZ228">
        <v>133</v>
      </c>
      <c r="CA228">
        <v>1</v>
      </c>
      <c r="CB228">
        <v>0</v>
      </c>
      <c r="CC228">
        <v>1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1</v>
      </c>
      <c r="CM228">
        <v>4</v>
      </c>
      <c r="CN228">
        <v>2</v>
      </c>
      <c r="CO228">
        <v>1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4</v>
      </c>
      <c r="CY228">
        <v>17</v>
      </c>
      <c r="CZ228">
        <v>11</v>
      </c>
      <c r="DA228">
        <v>2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2</v>
      </c>
      <c r="DH228">
        <v>1</v>
      </c>
      <c r="DI228">
        <v>1</v>
      </c>
      <c r="DJ228">
        <v>17</v>
      </c>
      <c r="DK228">
        <v>12</v>
      </c>
      <c r="DL228">
        <v>9</v>
      </c>
      <c r="DM228">
        <v>1</v>
      </c>
      <c r="DN228">
        <v>0</v>
      </c>
      <c r="DO228">
        <v>0</v>
      </c>
      <c r="DP228">
        <v>0</v>
      </c>
      <c r="DQ228">
        <v>2</v>
      </c>
      <c r="DR228">
        <v>0</v>
      </c>
      <c r="DS228">
        <v>0</v>
      </c>
      <c r="DT228">
        <v>0</v>
      </c>
      <c r="DU228">
        <v>0</v>
      </c>
      <c r="DV228">
        <v>12</v>
      </c>
      <c r="DW228">
        <v>90</v>
      </c>
      <c r="DX228">
        <v>9</v>
      </c>
      <c r="DY228">
        <v>11</v>
      </c>
      <c r="DZ228">
        <v>0</v>
      </c>
      <c r="EA228">
        <v>0</v>
      </c>
      <c r="EB228">
        <v>1</v>
      </c>
      <c r="EC228">
        <v>60</v>
      </c>
      <c r="ED228">
        <v>0</v>
      </c>
      <c r="EE228">
        <v>2</v>
      </c>
      <c r="EF228">
        <v>1</v>
      </c>
      <c r="EG228">
        <v>6</v>
      </c>
      <c r="EH228">
        <v>90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</row>
    <row r="229" spans="1:172" ht="14.25">
      <c r="A229">
        <v>224</v>
      </c>
      <c r="B229" t="str">
        <f>"101306"</f>
        <v>101306</v>
      </c>
      <c r="C229" t="str">
        <f>"Sadkowice"</f>
        <v>Sadkowice</v>
      </c>
      <c r="D229" t="str">
        <f t="shared" si="42"/>
        <v>Rawski</v>
      </c>
      <c r="E229" t="str">
        <f t="shared" si="39"/>
        <v>łódzkie</v>
      </c>
      <c r="F229">
        <v>3</v>
      </c>
      <c r="G229" t="str">
        <f>"Szkoła Podstawowa, Kłopoczyn 17, 96-208 Lubania"</f>
        <v>Szkoła Podstawowa, Kłopoczyn 17, 96-208 Lubania</v>
      </c>
      <c r="H229">
        <v>844</v>
      </c>
      <c r="I229">
        <v>844</v>
      </c>
      <c r="J229">
        <v>0</v>
      </c>
      <c r="K229">
        <v>600</v>
      </c>
      <c r="L229">
        <v>437</v>
      </c>
      <c r="M229">
        <v>163</v>
      </c>
      <c r="N229">
        <v>163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163</v>
      </c>
      <c r="Z229">
        <v>0</v>
      </c>
      <c r="AA229">
        <v>0</v>
      </c>
      <c r="AB229">
        <v>163</v>
      </c>
      <c r="AC229">
        <v>4</v>
      </c>
      <c r="AD229">
        <v>159</v>
      </c>
      <c r="AE229">
        <v>2</v>
      </c>
      <c r="AF229">
        <v>0</v>
      </c>
      <c r="AG229">
        <v>0</v>
      </c>
      <c r="AH229">
        <v>0</v>
      </c>
      <c r="AI229">
        <v>1</v>
      </c>
      <c r="AJ229">
        <v>0</v>
      </c>
      <c r="AK229">
        <v>0</v>
      </c>
      <c r="AL229">
        <v>0</v>
      </c>
      <c r="AM229">
        <v>0</v>
      </c>
      <c r="AN229">
        <v>1</v>
      </c>
      <c r="AO229">
        <v>0</v>
      </c>
      <c r="AP229">
        <v>2</v>
      </c>
      <c r="AQ229">
        <v>3</v>
      </c>
      <c r="AR229">
        <v>2</v>
      </c>
      <c r="AS229">
        <v>1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3</v>
      </c>
      <c r="BC229">
        <v>1</v>
      </c>
      <c r="BD229">
        <v>0</v>
      </c>
      <c r="BE229">
        <v>0</v>
      </c>
      <c r="BF229">
        <v>1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1</v>
      </c>
      <c r="BO229">
        <v>99</v>
      </c>
      <c r="BP229">
        <v>94</v>
      </c>
      <c r="BQ229">
        <v>3</v>
      </c>
      <c r="BR229">
        <v>0</v>
      </c>
      <c r="BS229">
        <v>0</v>
      </c>
      <c r="BT229">
        <v>0</v>
      </c>
      <c r="BU229">
        <v>0</v>
      </c>
      <c r="BV229">
        <v>1</v>
      </c>
      <c r="BW229">
        <v>0</v>
      </c>
      <c r="BX229">
        <v>0</v>
      </c>
      <c r="BY229">
        <v>1</v>
      </c>
      <c r="BZ229">
        <v>99</v>
      </c>
      <c r="CA229">
        <v>1</v>
      </c>
      <c r="CB229">
        <v>1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1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7</v>
      </c>
      <c r="CZ229">
        <v>4</v>
      </c>
      <c r="DA229">
        <v>0</v>
      </c>
      <c r="DB229">
        <v>0</v>
      </c>
      <c r="DC229">
        <v>0</v>
      </c>
      <c r="DD229">
        <v>0</v>
      </c>
      <c r="DE229">
        <v>1</v>
      </c>
      <c r="DF229">
        <v>0</v>
      </c>
      <c r="DG229">
        <v>0</v>
      </c>
      <c r="DH229">
        <v>2</v>
      </c>
      <c r="DI229">
        <v>0</v>
      </c>
      <c r="DJ229">
        <v>7</v>
      </c>
      <c r="DK229">
        <v>6</v>
      </c>
      <c r="DL229">
        <v>3</v>
      </c>
      <c r="DM229">
        <v>1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2</v>
      </c>
      <c r="DT229">
        <v>0</v>
      </c>
      <c r="DU229">
        <v>0</v>
      </c>
      <c r="DV229">
        <v>6</v>
      </c>
      <c r="DW229">
        <v>40</v>
      </c>
      <c r="DX229">
        <v>4</v>
      </c>
      <c r="DY229">
        <v>9</v>
      </c>
      <c r="DZ229">
        <v>1</v>
      </c>
      <c r="EA229">
        <v>0</v>
      </c>
      <c r="EB229">
        <v>0</v>
      </c>
      <c r="EC229">
        <v>17</v>
      </c>
      <c r="ED229">
        <v>0</v>
      </c>
      <c r="EE229">
        <v>0</v>
      </c>
      <c r="EF229">
        <v>0</v>
      </c>
      <c r="EG229">
        <v>9</v>
      </c>
      <c r="EH229">
        <v>40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</row>
    <row r="230" spans="1:172" ht="14.25">
      <c r="A230">
        <v>225</v>
      </c>
      <c r="B230" t="str">
        <f>"101306"</f>
        <v>101306</v>
      </c>
      <c r="C230" t="str">
        <f>"Sadkowice"</f>
        <v>Sadkowice</v>
      </c>
      <c r="D230" t="str">
        <f t="shared" si="42"/>
        <v>Rawski</v>
      </c>
      <c r="E230" t="str">
        <f t="shared" si="39"/>
        <v>łódzkie</v>
      </c>
      <c r="F230">
        <v>4</v>
      </c>
      <c r="G230" t="str">
        <f>"Świetlica Środowiskowa, Lewin 50, 96-206 Sadkowice"</f>
        <v>Świetlica Środowiskowa, Lewin 50, 96-206 Sadkowice</v>
      </c>
      <c r="H230">
        <v>293</v>
      </c>
      <c r="I230">
        <v>293</v>
      </c>
      <c r="J230">
        <v>0</v>
      </c>
      <c r="K230">
        <v>210</v>
      </c>
      <c r="L230">
        <v>165</v>
      </c>
      <c r="M230">
        <v>45</v>
      </c>
      <c r="N230">
        <v>45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45</v>
      </c>
      <c r="Z230">
        <v>0</v>
      </c>
      <c r="AA230">
        <v>0</v>
      </c>
      <c r="AB230">
        <v>45</v>
      </c>
      <c r="AC230">
        <v>2</v>
      </c>
      <c r="AD230">
        <v>43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1</v>
      </c>
      <c r="BJ230">
        <v>0</v>
      </c>
      <c r="BK230">
        <v>0</v>
      </c>
      <c r="BL230">
        <v>0</v>
      </c>
      <c r="BM230">
        <v>0</v>
      </c>
      <c r="BN230">
        <v>1</v>
      </c>
      <c r="BO230">
        <v>27</v>
      </c>
      <c r="BP230">
        <v>25</v>
      </c>
      <c r="BQ230">
        <v>0</v>
      </c>
      <c r="BR230">
        <v>1</v>
      </c>
      <c r="BS230">
        <v>0</v>
      </c>
      <c r="BT230">
        <v>0</v>
      </c>
      <c r="BU230">
        <v>1</v>
      </c>
      <c r="BV230">
        <v>0</v>
      </c>
      <c r="BW230">
        <v>0</v>
      </c>
      <c r="BX230">
        <v>0</v>
      </c>
      <c r="BY230">
        <v>0</v>
      </c>
      <c r="BZ230">
        <v>27</v>
      </c>
      <c r="CA230">
        <v>4</v>
      </c>
      <c r="CB230">
        <v>0</v>
      </c>
      <c r="CC230">
        <v>1</v>
      </c>
      <c r="CD230">
        <v>0</v>
      </c>
      <c r="CE230">
        <v>1</v>
      </c>
      <c r="CF230">
        <v>0</v>
      </c>
      <c r="CG230">
        <v>0</v>
      </c>
      <c r="CH230">
        <v>1</v>
      </c>
      <c r="CI230">
        <v>1</v>
      </c>
      <c r="CJ230">
        <v>0</v>
      </c>
      <c r="CK230">
        <v>0</v>
      </c>
      <c r="CL230">
        <v>4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11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10</v>
      </c>
      <c r="ED230">
        <v>0</v>
      </c>
      <c r="EE230">
        <v>0</v>
      </c>
      <c r="EF230">
        <v>0</v>
      </c>
      <c r="EG230">
        <v>1</v>
      </c>
      <c r="EH230">
        <v>11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</row>
    <row r="231" spans="1:172" ht="14.25">
      <c r="A231">
        <v>226</v>
      </c>
      <c r="B231" t="str">
        <f>"101501"</f>
        <v>101501</v>
      </c>
      <c r="C231" t="str">
        <f>"Bolimów"</f>
        <v>Bolimów</v>
      </c>
      <c r="D231" t="str">
        <f aca="true" t="shared" si="45" ref="D231:D268">"Skierniewicki"</f>
        <v>Skierniewicki</v>
      </c>
      <c r="E231" t="str">
        <f t="shared" si="39"/>
        <v>łódzkie</v>
      </c>
      <c r="F231">
        <v>1</v>
      </c>
      <c r="G231" t="str">
        <f>"Szkoła Podstawowa, Sokołowska 24, 99-417 Bolimów"</f>
        <v>Szkoła Podstawowa, Sokołowska 24, 99-417 Bolimów</v>
      </c>
      <c r="H231">
        <v>1770</v>
      </c>
      <c r="I231">
        <v>1769</v>
      </c>
      <c r="J231">
        <v>1</v>
      </c>
      <c r="K231">
        <v>1240</v>
      </c>
      <c r="L231">
        <v>934</v>
      </c>
      <c r="M231">
        <v>306</v>
      </c>
      <c r="N231">
        <v>306</v>
      </c>
      <c r="O231">
        <v>0</v>
      </c>
      <c r="P231">
        <v>0</v>
      </c>
      <c r="Q231">
        <v>8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306</v>
      </c>
      <c r="Z231">
        <v>0</v>
      </c>
      <c r="AA231">
        <v>0</v>
      </c>
      <c r="AB231">
        <v>306</v>
      </c>
      <c r="AC231">
        <v>19</v>
      </c>
      <c r="AD231">
        <v>287</v>
      </c>
      <c r="AE231">
        <v>2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2</v>
      </c>
      <c r="AM231">
        <v>0</v>
      </c>
      <c r="AN231">
        <v>0</v>
      </c>
      <c r="AO231">
        <v>0</v>
      </c>
      <c r="AP231">
        <v>2</v>
      </c>
      <c r="AQ231">
        <v>6</v>
      </c>
      <c r="AR231">
        <v>0</v>
      </c>
      <c r="AS231">
        <v>3</v>
      </c>
      <c r="AT231">
        <v>0</v>
      </c>
      <c r="AU231">
        <v>1</v>
      </c>
      <c r="AV231">
        <v>1</v>
      </c>
      <c r="AW231">
        <v>0</v>
      </c>
      <c r="AX231">
        <v>0</v>
      </c>
      <c r="AY231">
        <v>0</v>
      </c>
      <c r="AZ231">
        <v>1</v>
      </c>
      <c r="BA231">
        <v>0</v>
      </c>
      <c r="BB231">
        <v>6</v>
      </c>
      <c r="BC231">
        <v>13</v>
      </c>
      <c r="BD231">
        <v>7</v>
      </c>
      <c r="BE231">
        <v>0</v>
      </c>
      <c r="BF231">
        <v>0</v>
      </c>
      <c r="BG231">
        <v>0</v>
      </c>
      <c r="BH231">
        <v>2</v>
      </c>
      <c r="BI231">
        <v>0</v>
      </c>
      <c r="BJ231">
        <v>0</v>
      </c>
      <c r="BK231">
        <v>2</v>
      </c>
      <c r="BL231">
        <v>0</v>
      </c>
      <c r="BM231">
        <v>2</v>
      </c>
      <c r="BN231">
        <v>13</v>
      </c>
      <c r="BO231">
        <v>108</v>
      </c>
      <c r="BP231">
        <v>90</v>
      </c>
      <c r="BQ231">
        <v>6</v>
      </c>
      <c r="BR231">
        <v>3</v>
      </c>
      <c r="BS231">
        <v>2</v>
      </c>
      <c r="BT231">
        <v>2</v>
      </c>
      <c r="BU231">
        <v>0</v>
      </c>
      <c r="BV231">
        <v>2</v>
      </c>
      <c r="BW231">
        <v>1</v>
      </c>
      <c r="BX231">
        <v>2</v>
      </c>
      <c r="BY231">
        <v>0</v>
      </c>
      <c r="BZ231">
        <v>108</v>
      </c>
      <c r="CA231">
        <v>1</v>
      </c>
      <c r="CB231">
        <v>1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1</v>
      </c>
      <c r="CM231">
        <v>7</v>
      </c>
      <c r="CN231">
        <v>1</v>
      </c>
      <c r="CO231">
        <v>1</v>
      </c>
      <c r="CP231">
        <v>2</v>
      </c>
      <c r="CQ231">
        <v>3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7</v>
      </c>
      <c r="CY231">
        <v>39</v>
      </c>
      <c r="CZ231">
        <v>27</v>
      </c>
      <c r="DA231">
        <v>2</v>
      </c>
      <c r="DB231">
        <v>4</v>
      </c>
      <c r="DC231">
        <v>1</v>
      </c>
      <c r="DD231">
        <v>0</v>
      </c>
      <c r="DE231">
        <v>0</v>
      </c>
      <c r="DF231">
        <v>0</v>
      </c>
      <c r="DG231">
        <v>2</v>
      </c>
      <c r="DH231">
        <v>0</v>
      </c>
      <c r="DI231">
        <v>3</v>
      </c>
      <c r="DJ231">
        <v>39</v>
      </c>
      <c r="DK231">
        <v>59</v>
      </c>
      <c r="DL231">
        <v>40</v>
      </c>
      <c r="DM231">
        <v>9</v>
      </c>
      <c r="DN231">
        <v>1</v>
      </c>
      <c r="DO231">
        <v>2</v>
      </c>
      <c r="DP231">
        <v>1</v>
      </c>
      <c r="DQ231">
        <v>0</v>
      </c>
      <c r="DR231">
        <v>1</v>
      </c>
      <c r="DS231">
        <v>2</v>
      </c>
      <c r="DT231">
        <v>1</v>
      </c>
      <c r="DU231">
        <v>2</v>
      </c>
      <c r="DV231">
        <v>59</v>
      </c>
      <c r="DW231">
        <v>43</v>
      </c>
      <c r="DX231">
        <v>6</v>
      </c>
      <c r="DY231">
        <v>27</v>
      </c>
      <c r="DZ231">
        <v>0</v>
      </c>
      <c r="EA231">
        <v>6</v>
      </c>
      <c r="EB231">
        <v>0</v>
      </c>
      <c r="EC231">
        <v>3</v>
      </c>
      <c r="ED231">
        <v>1</v>
      </c>
      <c r="EE231">
        <v>0</v>
      </c>
      <c r="EF231">
        <v>0</v>
      </c>
      <c r="EG231">
        <v>0</v>
      </c>
      <c r="EH231">
        <v>43</v>
      </c>
      <c r="EI231">
        <v>2</v>
      </c>
      <c r="EJ231">
        <v>0</v>
      </c>
      <c r="EK231">
        <v>2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2</v>
      </c>
      <c r="ES231">
        <v>1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1</v>
      </c>
      <c r="FB231">
        <v>0</v>
      </c>
      <c r="FC231">
        <v>0</v>
      </c>
      <c r="FD231">
        <v>1</v>
      </c>
      <c r="FE231">
        <v>6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5</v>
      </c>
      <c r="FN231">
        <v>1</v>
      </c>
      <c r="FO231">
        <v>0</v>
      </c>
      <c r="FP231">
        <v>6</v>
      </c>
    </row>
    <row r="232" spans="1:172" ht="14.25">
      <c r="A232">
        <v>227</v>
      </c>
      <c r="B232" t="str">
        <f>"101501"</f>
        <v>101501</v>
      </c>
      <c r="C232" t="str">
        <f>"Bolimów"</f>
        <v>Bolimów</v>
      </c>
      <c r="D232" t="str">
        <f t="shared" si="45"/>
        <v>Skierniewicki</v>
      </c>
      <c r="E232" t="str">
        <f t="shared" si="39"/>
        <v>łódzkie</v>
      </c>
      <c r="F232">
        <v>2</v>
      </c>
      <c r="G232" t="str">
        <f>"Szkoła Podstawowa, Humin 44A, 99-417 Bolimów"</f>
        <v>Szkoła Podstawowa, Humin 44A, 99-417 Bolimów</v>
      </c>
      <c r="H232">
        <v>461</v>
      </c>
      <c r="I232">
        <v>461</v>
      </c>
      <c r="J232">
        <v>0</v>
      </c>
      <c r="K232">
        <v>320</v>
      </c>
      <c r="L232">
        <v>270</v>
      </c>
      <c r="M232">
        <v>50</v>
      </c>
      <c r="N232">
        <v>50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50</v>
      </c>
      <c r="Z232">
        <v>0</v>
      </c>
      <c r="AA232">
        <v>0</v>
      </c>
      <c r="AB232">
        <v>50</v>
      </c>
      <c r="AC232">
        <v>4</v>
      </c>
      <c r="AD232">
        <v>46</v>
      </c>
      <c r="AE232">
        <v>3</v>
      </c>
      <c r="AF232">
        <v>0</v>
      </c>
      <c r="AG232">
        <v>0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2</v>
      </c>
      <c r="AN232">
        <v>0</v>
      </c>
      <c r="AO232">
        <v>0</v>
      </c>
      <c r="AP232">
        <v>3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5</v>
      </c>
      <c r="BD232">
        <v>4</v>
      </c>
      <c r="BE232">
        <v>0</v>
      </c>
      <c r="BF232">
        <v>0</v>
      </c>
      <c r="BG232">
        <v>0</v>
      </c>
      <c r="BH232">
        <v>0</v>
      </c>
      <c r="BI232">
        <v>1</v>
      </c>
      <c r="BJ232">
        <v>0</v>
      </c>
      <c r="BK232">
        <v>0</v>
      </c>
      <c r="BL232">
        <v>0</v>
      </c>
      <c r="BM232">
        <v>0</v>
      </c>
      <c r="BN232">
        <v>5</v>
      </c>
      <c r="BO232">
        <v>9</v>
      </c>
      <c r="BP232">
        <v>8</v>
      </c>
      <c r="BQ232">
        <v>0</v>
      </c>
      <c r="BR232">
        <v>1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9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1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1</v>
      </c>
      <c r="CY232">
        <v>5</v>
      </c>
      <c r="CZ232">
        <v>2</v>
      </c>
      <c r="DA232">
        <v>0</v>
      </c>
      <c r="DB232">
        <v>1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1</v>
      </c>
      <c r="DI232">
        <v>1</v>
      </c>
      <c r="DJ232">
        <v>5</v>
      </c>
      <c r="DK232">
        <v>6</v>
      </c>
      <c r="DL232">
        <v>1</v>
      </c>
      <c r="DM232">
        <v>2</v>
      </c>
      <c r="DN232">
        <v>2</v>
      </c>
      <c r="DO232">
        <v>0</v>
      </c>
      <c r="DP232">
        <v>0</v>
      </c>
      <c r="DQ232">
        <v>1</v>
      </c>
      <c r="DR232">
        <v>0</v>
      </c>
      <c r="DS232">
        <v>0</v>
      </c>
      <c r="DT232">
        <v>0</v>
      </c>
      <c r="DU232">
        <v>0</v>
      </c>
      <c r="DV232">
        <v>6</v>
      </c>
      <c r="DW232">
        <v>15</v>
      </c>
      <c r="DX232">
        <v>0</v>
      </c>
      <c r="DY232">
        <v>5</v>
      </c>
      <c r="DZ232">
        <v>0</v>
      </c>
      <c r="EA232">
        <v>5</v>
      </c>
      <c r="EB232">
        <v>0</v>
      </c>
      <c r="EC232">
        <v>2</v>
      </c>
      <c r="ED232">
        <v>0</v>
      </c>
      <c r="EE232">
        <v>1</v>
      </c>
      <c r="EF232">
        <v>0</v>
      </c>
      <c r="EG232">
        <v>2</v>
      </c>
      <c r="EH232">
        <v>15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2</v>
      </c>
      <c r="FF232">
        <v>0</v>
      </c>
      <c r="FG232">
        <v>1</v>
      </c>
      <c r="FH232">
        <v>0</v>
      </c>
      <c r="FI232">
        <v>1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2</v>
      </c>
    </row>
    <row r="233" spans="1:172" ht="14.25">
      <c r="A233">
        <v>228</v>
      </c>
      <c r="B233" t="str">
        <f>"101501"</f>
        <v>101501</v>
      </c>
      <c r="C233" t="str">
        <f>"Bolimów"</f>
        <v>Bolimów</v>
      </c>
      <c r="D233" t="str">
        <f t="shared" si="45"/>
        <v>Skierniewicki</v>
      </c>
      <c r="E233" t="str">
        <f t="shared" si="39"/>
        <v>łódzkie</v>
      </c>
      <c r="F233">
        <v>3</v>
      </c>
      <c r="G233" t="str">
        <f>"Budynek byłej Szkoły Podstawowej, Kurabka 23, 99-417 Bolimów"</f>
        <v>Budynek byłej Szkoły Podstawowej, Kurabka 23, 99-417 Bolimów</v>
      </c>
      <c r="H233">
        <v>472</v>
      </c>
      <c r="I233">
        <v>472</v>
      </c>
      <c r="J233">
        <v>0</v>
      </c>
      <c r="K233">
        <v>330</v>
      </c>
      <c r="L233">
        <v>263</v>
      </c>
      <c r="M233">
        <v>67</v>
      </c>
      <c r="N233">
        <v>67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67</v>
      </c>
      <c r="Z233">
        <v>0</v>
      </c>
      <c r="AA233">
        <v>0</v>
      </c>
      <c r="AB233">
        <v>67</v>
      </c>
      <c r="AC233">
        <v>4</v>
      </c>
      <c r="AD233">
        <v>63</v>
      </c>
      <c r="AE233">
        <v>4</v>
      </c>
      <c r="AF233">
        <v>3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1</v>
      </c>
      <c r="AM233">
        <v>0</v>
      </c>
      <c r="AN233">
        <v>0</v>
      </c>
      <c r="AO233">
        <v>0</v>
      </c>
      <c r="AP233">
        <v>4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1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1</v>
      </c>
      <c r="BN233">
        <v>1</v>
      </c>
      <c r="BO233">
        <v>33</v>
      </c>
      <c r="BP233">
        <v>27</v>
      </c>
      <c r="BQ233">
        <v>2</v>
      </c>
      <c r="BR233">
        <v>1</v>
      </c>
      <c r="BS233">
        <v>1</v>
      </c>
      <c r="BT233">
        <v>0</v>
      </c>
      <c r="BU233">
        <v>0</v>
      </c>
      <c r="BV233">
        <v>1</v>
      </c>
      <c r="BW233">
        <v>0</v>
      </c>
      <c r="BX233">
        <v>1</v>
      </c>
      <c r="BY233">
        <v>0</v>
      </c>
      <c r="BZ233">
        <v>33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9</v>
      </c>
      <c r="CZ233">
        <v>8</v>
      </c>
      <c r="DA233">
        <v>1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9</v>
      </c>
      <c r="DK233">
        <v>6</v>
      </c>
      <c r="DL233">
        <v>1</v>
      </c>
      <c r="DM233">
        <v>3</v>
      </c>
      <c r="DN233">
        <v>0</v>
      </c>
      <c r="DO233">
        <v>0</v>
      </c>
      <c r="DP233">
        <v>0</v>
      </c>
      <c r="DQ233">
        <v>0</v>
      </c>
      <c r="DR233">
        <v>1</v>
      </c>
      <c r="DS233">
        <v>0</v>
      </c>
      <c r="DT233">
        <v>1</v>
      </c>
      <c r="DU233">
        <v>0</v>
      </c>
      <c r="DV233">
        <v>6</v>
      </c>
      <c r="DW233">
        <v>10</v>
      </c>
      <c r="DX233">
        <v>1</v>
      </c>
      <c r="DY233">
        <v>6</v>
      </c>
      <c r="DZ233">
        <v>0</v>
      </c>
      <c r="EA233">
        <v>0</v>
      </c>
      <c r="EB233">
        <v>0</v>
      </c>
      <c r="EC233">
        <v>0</v>
      </c>
      <c r="ED233">
        <v>1</v>
      </c>
      <c r="EE233">
        <v>2</v>
      </c>
      <c r="EF233">
        <v>0</v>
      </c>
      <c r="EG233">
        <v>0</v>
      </c>
      <c r="EH233">
        <v>10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</row>
    <row r="234" spans="1:172" ht="14.25">
      <c r="A234">
        <v>229</v>
      </c>
      <c r="B234" t="str">
        <f>"101501"</f>
        <v>101501</v>
      </c>
      <c r="C234" t="str">
        <f>"Bolimów"</f>
        <v>Bolimów</v>
      </c>
      <c r="D234" t="str">
        <f t="shared" si="45"/>
        <v>Skierniewicki</v>
      </c>
      <c r="E234" t="str">
        <f t="shared" si="39"/>
        <v>łódzkie</v>
      </c>
      <c r="F234">
        <v>4</v>
      </c>
      <c r="G234" t="str">
        <f>"Szkoła Podstawowa, Kęszyce-Wieś 50, 99-417 Bolimów"</f>
        <v>Szkoła Podstawowa, Kęszyce-Wieś 50, 99-417 Bolimów</v>
      </c>
      <c r="H234">
        <v>520</v>
      </c>
      <c r="I234">
        <v>520</v>
      </c>
      <c r="J234">
        <v>0</v>
      </c>
      <c r="K234">
        <v>370</v>
      </c>
      <c r="L234">
        <v>289</v>
      </c>
      <c r="M234">
        <v>81</v>
      </c>
      <c r="N234">
        <v>81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81</v>
      </c>
      <c r="Z234">
        <v>0</v>
      </c>
      <c r="AA234">
        <v>0</v>
      </c>
      <c r="AB234">
        <v>81</v>
      </c>
      <c r="AC234">
        <v>1</v>
      </c>
      <c r="AD234">
        <v>80</v>
      </c>
      <c r="AE234">
        <v>2</v>
      </c>
      <c r="AF234">
        <v>1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1</v>
      </c>
      <c r="AP234">
        <v>2</v>
      </c>
      <c r="AQ234">
        <v>1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1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4</v>
      </c>
      <c r="BD234">
        <v>0</v>
      </c>
      <c r="BE234">
        <v>1</v>
      </c>
      <c r="BF234">
        <v>1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2</v>
      </c>
      <c r="BN234">
        <v>4</v>
      </c>
      <c r="BO234">
        <v>37</v>
      </c>
      <c r="BP234">
        <v>24</v>
      </c>
      <c r="BQ234">
        <v>6</v>
      </c>
      <c r="BR234">
        <v>2</v>
      </c>
      <c r="BS234">
        <v>1</v>
      </c>
      <c r="BT234">
        <v>1</v>
      </c>
      <c r="BU234">
        <v>0</v>
      </c>
      <c r="BV234">
        <v>0</v>
      </c>
      <c r="BW234">
        <v>1</v>
      </c>
      <c r="BX234">
        <v>1</v>
      </c>
      <c r="BY234">
        <v>1</v>
      </c>
      <c r="BZ234">
        <v>37</v>
      </c>
      <c r="CA234">
        <v>1</v>
      </c>
      <c r="CB234">
        <v>1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1</v>
      </c>
      <c r="CM234">
        <v>2</v>
      </c>
      <c r="CN234">
        <v>1</v>
      </c>
      <c r="CO234">
        <v>0</v>
      </c>
      <c r="CP234">
        <v>0</v>
      </c>
      <c r="CQ234">
        <v>1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2</v>
      </c>
      <c r="CY234">
        <v>6</v>
      </c>
      <c r="CZ234">
        <v>1</v>
      </c>
      <c r="DA234">
        <v>0</v>
      </c>
      <c r="DB234">
        <v>0</v>
      </c>
      <c r="DC234">
        <v>0</v>
      </c>
      <c r="DD234">
        <v>0</v>
      </c>
      <c r="DE234">
        <v>1</v>
      </c>
      <c r="DF234">
        <v>2</v>
      </c>
      <c r="DG234">
        <v>0</v>
      </c>
      <c r="DH234">
        <v>1</v>
      </c>
      <c r="DI234">
        <v>1</v>
      </c>
      <c r="DJ234">
        <v>6</v>
      </c>
      <c r="DK234">
        <v>10</v>
      </c>
      <c r="DL234">
        <v>7</v>
      </c>
      <c r="DM234">
        <v>0</v>
      </c>
      <c r="DN234">
        <v>0</v>
      </c>
      <c r="DO234">
        <v>0</v>
      </c>
      <c r="DP234">
        <v>1</v>
      </c>
      <c r="DQ234">
        <v>1</v>
      </c>
      <c r="DR234">
        <v>0</v>
      </c>
      <c r="DS234">
        <v>0</v>
      </c>
      <c r="DT234">
        <v>0</v>
      </c>
      <c r="DU234">
        <v>1</v>
      </c>
      <c r="DV234">
        <v>10</v>
      </c>
      <c r="DW234">
        <v>15</v>
      </c>
      <c r="DX234">
        <v>0</v>
      </c>
      <c r="DY234">
        <v>10</v>
      </c>
      <c r="DZ234">
        <v>0</v>
      </c>
      <c r="EA234">
        <v>4</v>
      </c>
      <c r="EB234">
        <v>0</v>
      </c>
      <c r="EC234">
        <v>0</v>
      </c>
      <c r="ED234">
        <v>1</v>
      </c>
      <c r="EE234">
        <v>0</v>
      </c>
      <c r="EF234">
        <v>0</v>
      </c>
      <c r="EG234">
        <v>0</v>
      </c>
      <c r="EH234">
        <v>15</v>
      </c>
      <c r="EI234">
        <v>1</v>
      </c>
      <c r="EJ234">
        <v>0</v>
      </c>
      <c r="EK234">
        <v>0</v>
      </c>
      <c r="EL234">
        <v>0</v>
      </c>
      <c r="EM234">
        <v>1</v>
      </c>
      <c r="EN234">
        <v>0</v>
      </c>
      <c r="EO234">
        <v>0</v>
      </c>
      <c r="EP234">
        <v>0</v>
      </c>
      <c r="EQ234">
        <v>0</v>
      </c>
      <c r="ER234">
        <v>1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1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1</v>
      </c>
      <c r="FN234">
        <v>0</v>
      </c>
      <c r="FO234">
        <v>0</v>
      </c>
      <c r="FP234">
        <v>1</v>
      </c>
    </row>
    <row r="235" spans="1:172" ht="14.25">
      <c r="A235">
        <v>230</v>
      </c>
      <c r="B235" t="str">
        <f>"101502"</f>
        <v>101502</v>
      </c>
      <c r="C235" t="str">
        <f>"Głuchów"</f>
        <v>Głuchów</v>
      </c>
      <c r="D235" t="str">
        <f t="shared" si="45"/>
        <v>Skierniewicki</v>
      </c>
      <c r="E235" t="str">
        <f t="shared" si="39"/>
        <v>łódzkie</v>
      </c>
      <c r="F235">
        <v>1</v>
      </c>
      <c r="G235" t="str">
        <f>"Szkoła Podstawowa, Białynin 50, 96-130 Głuchów"</f>
        <v>Szkoła Podstawowa, Białynin 50, 96-130 Głuchów</v>
      </c>
      <c r="H235">
        <v>670</v>
      </c>
      <c r="I235">
        <v>670</v>
      </c>
      <c r="J235">
        <v>0</v>
      </c>
      <c r="K235">
        <v>470</v>
      </c>
      <c r="L235">
        <v>268</v>
      </c>
      <c r="M235">
        <v>202</v>
      </c>
      <c r="N235">
        <v>202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202</v>
      </c>
      <c r="Z235">
        <v>0</v>
      </c>
      <c r="AA235">
        <v>0</v>
      </c>
      <c r="AB235">
        <v>202</v>
      </c>
      <c r="AC235">
        <v>3</v>
      </c>
      <c r="AD235">
        <v>199</v>
      </c>
      <c r="AE235">
        <v>6</v>
      </c>
      <c r="AF235">
        <v>2</v>
      </c>
      <c r="AG235">
        <v>2</v>
      </c>
      <c r="AH235">
        <v>1</v>
      </c>
      <c r="AI235">
        <v>0</v>
      </c>
      <c r="AJ235">
        <v>0</v>
      </c>
      <c r="AK235">
        <v>0</v>
      </c>
      <c r="AL235">
        <v>0</v>
      </c>
      <c r="AM235">
        <v>1</v>
      </c>
      <c r="AN235">
        <v>0</v>
      </c>
      <c r="AO235">
        <v>0</v>
      </c>
      <c r="AP235">
        <v>6</v>
      </c>
      <c r="AQ235">
        <v>1</v>
      </c>
      <c r="AR235">
        <v>0</v>
      </c>
      <c r="AS235">
        <v>0</v>
      </c>
      <c r="AT235">
        <v>1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1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137</v>
      </c>
      <c r="BP235">
        <v>131</v>
      </c>
      <c r="BQ235">
        <v>1</v>
      </c>
      <c r="BR235">
        <v>0</v>
      </c>
      <c r="BS235">
        <v>2</v>
      </c>
      <c r="BT235">
        <v>0</v>
      </c>
      <c r="BU235">
        <v>3</v>
      </c>
      <c r="BV235">
        <v>0</v>
      </c>
      <c r="BW235">
        <v>0</v>
      </c>
      <c r="BX235">
        <v>0</v>
      </c>
      <c r="BY235">
        <v>0</v>
      </c>
      <c r="BZ235">
        <v>137</v>
      </c>
      <c r="CA235">
        <v>3</v>
      </c>
      <c r="CB235">
        <v>0</v>
      </c>
      <c r="CC235">
        <v>0</v>
      </c>
      <c r="CD235">
        <v>0</v>
      </c>
      <c r="CE235">
        <v>1</v>
      </c>
      <c r="CF235">
        <v>0</v>
      </c>
      <c r="CG235">
        <v>0</v>
      </c>
      <c r="CH235">
        <v>1</v>
      </c>
      <c r="CI235">
        <v>0</v>
      </c>
      <c r="CJ235">
        <v>1</v>
      </c>
      <c r="CK235">
        <v>0</v>
      </c>
      <c r="CL235">
        <v>3</v>
      </c>
      <c r="CM235">
        <v>2</v>
      </c>
      <c r="CN235">
        <v>2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2</v>
      </c>
      <c r="CY235">
        <v>11</v>
      </c>
      <c r="CZ235">
        <v>8</v>
      </c>
      <c r="DA235">
        <v>3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11</v>
      </c>
      <c r="DK235">
        <v>4</v>
      </c>
      <c r="DL235">
        <v>2</v>
      </c>
      <c r="DM235">
        <v>2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4</v>
      </c>
      <c r="DW235">
        <v>33</v>
      </c>
      <c r="DX235">
        <v>0</v>
      </c>
      <c r="DY235">
        <v>6</v>
      </c>
      <c r="DZ235">
        <v>0</v>
      </c>
      <c r="EA235">
        <v>0</v>
      </c>
      <c r="EB235">
        <v>1</v>
      </c>
      <c r="EC235">
        <v>24</v>
      </c>
      <c r="ED235">
        <v>0</v>
      </c>
      <c r="EE235">
        <v>0</v>
      </c>
      <c r="EF235">
        <v>0</v>
      </c>
      <c r="EG235">
        <v>2</v>
      </c>
      <c r="EH235">
        <v>33</v>
      </c>
      <c r="EI235">
        <v>1</v>
      </c>
      <c r="EJ235">
        <v>1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1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1</v>
      </c>
      <c r="FF235">
        <v>1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1</v>
      </c>
    </row>
    <row r="236" spans="1:172" ht="14.25">
      <c r="A236">
        <v>231</v>
      </c>
      <c r="B236" t="str">
        <f>"101502"</f>
        <v>101502</v>
      </c>
      <c r="C236" t="str">
        <f>"Głuchów"</f>
        <v>Głuchów</v>
      </c>
      <c r="D236" t="str">
        <f t="shared" si="45"/>
        <v>Skierniewicki</v>
      </c>
      <c r="E236" t="str">
        <f t="shared" si="39"/>
        <v>łódzkie</v>
      </c>
      <c r="F236">
        <v>2</v>
      </c>
      <c r="G236" t="str">
        <f>"Urząd Gminy, Aleja Klonowa 5, 96-130 Głuchów"</f>
        <v>Urząd Gminy, Aleja Klonowa 5, 96-130 Głuchów</v>
      </c>
      <c r="H236">
        <v>1618</v>
      </c>
      <c r="I236">
        <v>1618</v>
      </c>
      <c r="J236">
        <v>0</v>
      </c>
      <c r="K236">
        <v>1140</v>
      </c>
      <c r="L236">
        <v>546</v>
      </c>
      <c r="M236">
        <v>594</v>
      </c>
      <c r="N236">
        <v>594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594</v>
      </c>
      <c r="Z236">
        <v>0</v>
      </c>
      <c r="AA236">
        <v>0</v>
      </c>
      <c r="AB236">
        <v>594</v>
      </c>
      <c r="AC236">
        <v>13</v>
      </c>
      <c r="AD236">
        <v>581</v>
      </c>
      <c r="AE236">
        <v>7</v>
      </c>
      <c r="AF236">
        <v>4</v>
      </c>
      <c r="AG236">
        <v>1</v>
      </c>
      <c r="AH236">
        <v>1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7</v>
      </c>
      <c r="AQ236">
        <v>3</v>
      </c>
      <c r="AR236">
        <v>2</v>
      </c>
      <c r="AS236">
        <v>0</v>
      </c>
      <c r="AT236">
        <v>0</v>
      </c>
      <c r="AU236">
        <v>1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3</v>
      </c>
      <c r="BC236">
        <v>20</v>
      </c>
      <c r="BD236">
        <v>2</v>
      </c>
      <c r="BE236">
        <v>12</v>
      </c>
      <c r="BF236">
        <v>1</v>
      </c>
      <c r="BG236">
        <v>3</v>
      </c>
      <c r="BH236">
        <v>0</v>
      </c>
      <c r="BI236">
        <v>1</v>
      </c>
      <c r="BJ236">
        <v>0</v>
      </c>
      <c r="BK236">
        <v>0</v>
      </c>
      <c r="BL236">
        <v>0</v>
      </c>
      <c r="BM236">
        <v>1</v>
      </c>
      <c r="BN236">
        <v>20</v>
      </c>
      <c r="BO236">
        <v>357</v>
      </c>
      <c r="BP236">
        <v>351</v>
      </c>
      <c r="BQ236">
        <v>0</v>
      </c>
      <c r="BR236">
        <v>0</v>
      </c>
      <c r="BS236">
        <v>0</v>
      </c>
      <c r="BT236">
        <v>0</v>
      </c>
      <c r="BU236">
        <v>3</v>
      </c>
      <c r="BV236">
        <v>0</v>
      </c>
      <c r="BW236">
        <v>2</v>
      </c>
      <c r="BX236">
        <v>0</v>
      </c>
      <c r="BY236">
        <v>1</v>
      </c>
      <c r="BZ236">
        <v>357</v>
      </c>
      <c r="CA236">
        <v>3</v>
      </c>
      <c r="CB236">
        <v>2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1</v>
      </c>
      <c r="CK236">
        <v>0</v>
      </c>
      <c r="CL236">
        <v>3</v>
      </c>
      <c r="CM236">
        <v>11</v>
      </c>
      <c r="CN236">
        <v>8</v>
      </c>
      <c r="CO236">
        <v>1</v>
      </c>
      <c r="CP236">
        <v>0</v>
      </c>
      <c r="CQ236">
        <v>1</v>
      </c>
      <c r="CR236">
        <v>1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11</v>
      </c>
      <c r="CY236">
        <v>19</v>
      </c>
      <c r="CZ236">
        <v>10</v>
      </c>
      <c r="DA236">
        <v>1</v>
      </c>
      <c r="DB236">
        <v>1</v>
      </c>
      <c r="DC236">
        <v>0</v>
      </c>
      <c r="DD236">
        <v>1</v>
      </c>
      <c r="DE236">
        <v>0</v>
      </c>
      <c r="DF236">
        <v>0</v>
      </c>
      <c r="DG236">
        <v>1</v>
      </c>
      <c r="DH236">
        <v>3</v>
      </c>
      <c r="DI236">
        <v>2</v>
      </c>
      <c r="DJ236">
        <v>19</v>
      </c>
      <c r="DK236">
        <v>34</v>
      </c>
      <c r="DL236">
        <v>21</v>
      </c>
      <c r="DM236">
        <v>11</v>
      </c>
      <c r="DN236">
        <v>0</v>
      </c>
      <c r="DO236">
        <v>0</v>
      </c>
      <c r="DP236">
        <v>0</v>
      </c>
      <c r="DQ236">
        <v>0</v>
      </c>
      <c r="DR236">
        <v>1</v>
      </c>
      <c r="DS236">
        <v>0</v>
      </c>
      <c r="DT236">
        <v>0</v>
      </c>
      <c r="DU236">
        <v>1</v>
      </c>
      <c r="DV236">
        <v>34</v>
      </c>
      <c r="DW236">
        <v>122</v>
      </c>
      <c r="DX236">
        <v>5</v>
      </c>
      <c r="DY236">
        <v>23</v>
      </c>
      <c r="DZ236">
        <v>0</v>
      </c>
      <c r="EA236">
        <v>1</v>
      </c>
      <c r="EB236">
        <v>0</v>
      </c>
      <c r="EC236">
        <v>89</v>
      </c>
      <c r="ED236">
        <v>0</v>
      </c>
      <c r="EE236">
        <v>0</v>
      </c>
      <c r="EF236">
        <v>3</v>
      </c>
      <c r="EG236">
        <v>1</v>
      </c>
      <c r="EH236">
        <v>122</v>
      </c>
      <c r="EI236">
        <v>1</v>
      </c>
      <c r="EJ236">
        <v>0</v>
      </c>
      <c r="EK236">
        <v>1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1</v>
      </c>
      <c r="ES236">
        <v>1</v>
      </c>
      <c r="ET236">
        <v>0</v>
      </c>
      <c r="EU236">
        <v>0</v>
      </c>
      <c r="EV236">
        <v>0</v>
      </c>
      <c r="EW236">
        <v>1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1</v>
      </c>
      <c r="FE236">
        <v>3</v>
      </c>
      <c r="FF236">
        <v>1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2</v>
      </c>
      <c r="FP236">
        <v>3</v>
      </c>
    </row>
    <row r="237" spans="1:172" ht="14.25">
      <c r="A237">
        <v>232</v>
      </c>
      <c r="B237" t="str">
        <f>"101502"</f>
        <v>101502</v>
      </c>
      <c r="C237" t="str">
        <f>"Głuchów"</f>
        <v>Głuchów</v>
      </c>
      <c r="D237" t="str">
        <f t="shared" si="45"/>
        <v>Skierniewicki</v>
      </c>
      <c r="E237" t="str">
        <f t="shared" si="39"/>
        <v>łódzkie</v>
      </c>
      <c r="F237">
        <v>3</v>
      </c>
      <c r="G237" t="str">
        <f>"Świetlica Wiejska, Janisławice 49, 96-130 Głuchów"</f>
        <v>Świetlica Wiejska, Janisławice 49, 96-130 Głuchów</v>
      </c>
      <c r="H237">
        <v>553</v>
      </c>
      <c r="I237">
        <v>553</v>
      </c>
      <c r="J237">
        <v>0</v>
      </c>
      <c r="K237">
        <v>390</v>
      </c>
      <c r="L237">
        <v>210</v>
      </c>
      <c r="M237">
        <v>180</v>
      </c>
      <c r="N237">
        <v>180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180</v>
      </c>
      <c r="Z237">
        <v>0</v>
      </c>
      <c r="AA237">
        <v>0</v>
      </c>
      <c r="AB237">
        <v>180</v>
      </c>
      <c r="AC237">
        <v>5</v>
      </c>
      <c r="AD237">
        <v>175</v>
      </c>
      <c r="AE237">
        <v>1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1</v>
      </c>
      <c r="AN237">
        <v>0</v>
      </c>
      <c r="AO237">
        <v>0</v>
      </c>
      <c r="AP237">
        <v>1</v>
      </c>
      <c r="AQ237">
        <v>1</v>
      </c>
      <c r="AR237">
        <v>1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1</v>
      </c>
      <c r="BC237">
        <v>3</v>
      </c>
      <c r="BD237">
        <v>1</v>
      </c>
      <c r="BE237">
        <v>1</v>
      </c>
      <c r="BF237">
        <v>1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3</v>
      </c>
      <c r="BO237">
        <v>88</v>
      </c>
      <c r="BP237">
        <v>74</v>
      </c>
      <c r="BQ237">
        <v>2</v>
      </c>
      <c r="BR237">
        <v>5</v>
      </c>
      <c r="BS237">
        <v>0</v>
      </c>
      <c r="BT237">
        <v>0</v>
      </c>
      <c r="BU237">
        <v>4</v>
      </c>
      <c r="BV237">
        <v>0</v>
      </c>
      <c r="BW237">
        <v>1</v>
      </c>
      <c r="BX237">
        <v>2</v>
      </c>
      <c r="BY237">
        <v>0</v>
      </c>
      <c r="BZ237">
        <v>88</v>
      </c>
      <c r="CA237">
        <v>1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1</v>
      </c>
      <c r="CH237">
        <v>0</v>
      </c>
      <c r="CI237">
        <v>0</v>
      </c>
      <c r="CJ237">
        <v>0</v>
      </c>
      <c r="CK237">
        <v>0</v>
      </c>
      <c r="CL237">
        <v>1</v>
      </c>
      <c r="CM237">
        <v>1</v>
      </c>
      <c r="CN237">
        <v>1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1</v>
      </c>
      <c r="CY237">
        <v>5</v>
      </c>
      <c r="CZ237">
        <v>1</v>
      </c>
      <c r="DA237">
        <v>0</v>
      </c>
      <c r="DB237">
        <v>4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5</v>
      </c>
      <c r="DK237">
        <v>5</v>
      </c>
      <c r="DL237">
        <v>1</v>
      </c>
      <c r="DM237">
        <v>2</v>
      </c>
      <c r="DN237">
        <v>0</v>
      </c>
      <c r="DO237">
        <v>0</v>
      </c>
      <c r="DP237">
        <v>0</v>
      </c>
      <c r="DQ237">
        <v>0</v>
      </c>
      <c r="DR237">
        <v>1</v>
      </c>
      <c r="DS237">
        <v>1</v>
      </c>
      <c r="DT237">
        <v>0</v>
      </c>
      <c r="DU237">
        <v>0</v>
      </c>
      <c r="DV237">
        <v>5</v>
      </c>
      <c r="DW237">
        <v>69</v>
      </c>
      <c r="DX237">
        <v>0</v>
      </c>
      <c r="DY237">
        <v>37</v>
      </c>
      <c r="DZ237">
        <v>0</v>
      </c>
      <c r="EA237">
        <v>0</v>
      </c>
      <c r="EB237">
        <v>0</v>
      </c>
      <c r="EC237">
        <v>31</v>
      </c>
      <c r="ED237">
        <v>0</v>
      </c>
      <c r="EE237">
        <v>0</v>
      </c>
      <c r="EF237">
        <v>0</v>
      </c>
      <c r="EG237">
        <v>1</v>
      </c>
      <c r="EH237">
        <v>69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1</v>
      </c>
      <c r="ET237">
        <v>1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1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</row>
    <row r="238" spans="1:172" ht="14.25">
      <c r="A238">
        <v>233</v>
      </c>
      <c r="B238" t="str">
        <f>"101502"</f>
        <v>101502</v>
      </c>
      <c r="C238" t="str">
        <f>"Głuchów"</f>
        <v>Głuchów</v>
      </c>
      <c r="D238" t="str">
        <f t="shared" si="45"/>
        <v>Skierniewicki</v>
      </c>
      <c r="E238" t="str">
        <f t="shared" si="39"/>
        <v>łódzkie</v>
      </c>
      <c r="F238">
        <v>4</v>
      </c>
      <c r="G238" t="str">
        <f>"Szkoła Podstawowa, Wysokienice 32, 96-130 Głuchów"</f>
        <v>Szkoła Podstawowa, Wysokienice 32, 96-130 Głuchów</v>
      </c>
      <c r="H238">
        <v>1865</v>
      </c>
      <c r="I238">
        <v>1865</v>
      </c>
      <c r="J238">
        <v>0</v>
      </c>
      <c r="K238">
        <v>1310</v>
      </c>
      <c r="L238">
        <v>714</v>
      </c>
      <c r="M238">
        <v>596</v>
      </c>
      <c r="N238">
        <v>596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596</v>
      </c>
      <c r="Z238">
        <v>0</v>
      </c>
      <c r="AA238">
        <v>0</v>
      </c>
      <c r="AB238">
        <v>596</v>
      </c>
      <c r="AC238">
        <v>21</v>
      </c>
      <c r="AD238">
        <v>575</v>
      </c>
      <c r="AE238">
        <v>8</v>
      </c>
      <c r="AF238">
        <v>2</v>
      </c>
      <c r="AG238">
        <v>0</v>
      </c>
      <c r="AH238">
        <v>2</v>
      </c>
      <c r="AI238">
        <v>0</v>
      </c>
      <c r="AJ238">
        <v>1</v>
      </c>
      <c r="AK238">
        <v>0</v>
      </c>
      <c r="AL238">
        <v>0</v>
      </c>
      <c r="AM238">
        <v>2</v>
      </c>
      <c r="AN238">
        <v>1</v>
      </c>
      <c r="AO238">
        <v>0</v>
      </c>
      <c r="AP238">
        <v>8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2</v>
      </c>
      <c r="BD238">
        <v>0</v>
      </c>
      <c r="BE238">
        <v>0</v>
      </c>
      <c r="BF238">
        <v>0</v>
      </c>
      <c r="BG238">
        <v>0</v>
      </c>
      <c r="BH238">
        <v>1</v>
      </c>
      <c r="BI238">
        <v>1</v>
      </c>
      <c r="BJ238">
        <v>0</v>
      </c>
      <c r="BK238">
        <v>0</v>
      </c>
      <c r="BL238">
        <v>0</v>
      </c>
      <c r="BM238">
        <v>0</v>
      </c>
      <c r="BN238">
        <v>2</v>
      </c>
      <c r="BO238">
        <v>432</v>
      </c>
      <c r="BP238">
        <v>397</v>
      </c>
      <c r="BQ238">
        <v>4</v>
      </c>
      <c r="BR238">
        <v>11</v>
      </c>
      <c r="BS238">
        <v>4</v>
      </c>
      <c r="BT238">
        <v>1</v>
      </c>
      <c r="BU238">
        <v>10</v>
      </c>
      <c r="BV238">
        <v>1</v>
      </c>
      <c r="BW238">
        <v>0</v>
      </c>
      <c r="BX238">
        <v>3</v>
      </c>
      <c r="BY238">
        <v>1</v>
      </c>
      <c r="BZ238">
        <v>432</v>
      </c>
      <c r="CA238">
        <v>3</v>
      </c>
      <c r="CB238">
        <v>1</v>
      </c>
      <c r="CC238">
        <v>0</v>
      </c>
      <c r="CD238">
        <v>0</v>
      </c>
      <c r="CE238">
        <v>0</v>
      </c>
      <c r="CF238">
        <v>0</v>
      </c>
      <c r="CG238">
        <v>1</v>
      </c>
      <c r="CH238">
        <v>0</v>
      </c>
      <c r="CI238">
        <v>0</v>
      </c>
      <c r="CJ238">
        <v>1</v>
      </c>
      <c r="CK238">
        <v>0</v>
      </c>
      <c r="CL238">
        <v>3</v>
      </c>
      <c r="CM238">
        <v>1</v>
      </c>
      <c r="CN238">
        <v>1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1</v>
      </c>
      <c r="CY238">
        <v>10</v>
      </c>
      <c r="CZ238">
        <v>4</v>
      </c>
      <c r="DA238">
        <v>1</v>
      </c>
      <c r="DB238">
        <v>2</v>
      </c>
      <c r="DC238">
        <v>0</v>
      </c>
      <c r="DD238">
        <v>0</v>
      </c>
      <c r="DE238">
        <v>1</v>
      </c>
      <c r="DF238">
        <v>1</v>
      </c>
      <c r="DG238">
        <v>1</v>
      </c>
      <c r="DH238">
        <v>0</v>
      </c>
      <c r="DI238">
        <v>0</v>
      </c>
      <c r="DJ238">
        <v>10</v>
      </c>
      <c r="DK238">
        <v>13</v>
      </c>
      <c r="DL238">
        <v>7</v>
      </c>
      <c r="DM238">
        <v>3</v>
      </c>
      <c r="DN238">
        <v>1</v>
      </c>
      <c r="DO238">
        <v>1</v>
      </c>
      <c r="DP238">
        <v>0</v>
      </c>
      <c r="DQ238">
        <v>1</v>
      </c>
      <c r="DR238">
        <v>0</v>
      </c>
      <c r="DS238">
        <v>0</v>
      </c>
      <c r="DT238">
        <v>0</v>
      </c>
      <c r="DU238">
        <v>0</v>
      </c>
      <c r="DV238">
        <v>13</v>
      </c>
      <c r="DW238">
        <v>103</v>
      </c>
      <c r="DX238">
        <v>1</v>
      </c>
      <c r="DY238">
        <v>16</v>
      </c>
      <c r="DZ238">
        <v>0</v>
      </c>
      <c r="EA238">
        <v>1</v>
      </c>
      <c r="EB238">
        <v>0</v>
      </c>
      <c r="EC238">
        <v>83</v>
      </c>
      <c r="ED238">
        <v>0</v>
      </c>
      <c r="EE238">
        <v>1</v>
      </c>
      <c r="EF238">
        <v>0</v>
      </c>
      <c r="EG238">
        <v>1</v>
      </c>
      <c r="EH238">
        <v>103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3</v>
      </c>
      <c r="ET238">
        <v>0</v>
      </c>
      <c r="EU238">
        <v>2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1</v>
      </c>
      <c r="FB238">
        <v>0</v>
      </c>
      <c r="FC238">
        <v>0</v>
      </c>
      <c r="FD238">
        <v>3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</row>
    <row r="239" spans="1:172" ht="14.25">
      <c r="A239">
        <v>234</v>
      </c>
      <c r="B239" t="str">
        <f>"101503"</f>
        <v>101503</v>
      </c>
      <c r="C239" t="str">
        <f>"Godzianów"</f>
        <v>Godzianów</v>
      </c>
      <c r="D239" t="str">
        <f t="shared" si="45"/>
        <v>Skierniewicki</v>
      </c>
      <c r="E239" t="str">
        <f t="shared" si="39"/>
        <v>łódzkie</v>
      </c>
      <c r="F239">
        <v>1</v>
      </c>
      <c r="G239" t="str">
        <f>"Urząd Gminy, ul. Klonowa 5, 96-126 Godzianów"</f>
        <v>Urząd Gminy, ul. Klonowa 5, 96-126 Godzianów</v>
      </c>
      <c r="H239">
        <v>1470</v>
      </c>
      <c r="I239">
        <v>1470</v>
      </c>
      <c r="J239">
        <v>0</v>
      </c>
      <c r="K239">
        <v>1030</v>
      </c>
      <c r="L239">
        <v>709</v>
      </c>
      <c r="M239">
        <v>321</v>
      </c>
      <c r="N239">
        <v>321</v>
      </c>
      <c r="O239">
        <v>0</v>
      </c>
      <c r="P239">
        <v>0</v>
      </c>
      <c r="Q239">
        <v>2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321</v>
      </c>
      <c r="Z239">
        <v>0</v>
      </c>
      <c r="AA239">
        <v>0</v>
      </c>
      <c r="AB239">
        <v>321</v>
      </c>
      <c r="AC239">
        <v>20</v>
      </c>
      <c r="AD239">
        <v>301</v>
      </c>
      <c r="AE239">
        <v>11</v>
      </c>
      <c r="AF239">
        <v>3</v>
      </c>
      <c r="AG239">
        <v>2</v>
      </c>
      <c r="AH239">
        <v>1</v>
      </c>
      <c r="AI239">
        <v>1</v>
      </c>
      <c r="AJ239">
        <v>0</v>
      </c>
      <c r="AK239">
        <v>3</v>
      </c>
      <c r="AL239">
        <v>1</v>
      </c>
      <c r="AM239">
        <v>0</v>
      </c>
      <c r="AN239">
        <v>0</v>
      </c>
      <c r="AO239">
        <v>0</v>
      </c>
      <c r="AP239">
        <v>11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8</v>
      </c>
      <c r="BD239">
        <v>7</v>
      </c>
      <c r="BE239">
        <v>1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8</v>
      </c>
      <c r="BO239">
        <v>215</v>
      </c>
      <c r="BP239">
        <v>194</v>
      </c>
      <c r="BQ239">
        <v>6</v>
      </c>
      <c r="BR239">
        <v>4</v>
      </c>
      <c r="BS239">
        <v>1</v>
      </c>
      <c r="BT239">
        <v>1</v>
      </c>
      <c r="BU239">
        <v>3</v>
      </c>
      <c r="BV239">
        <v>1</v>
      </c>
      <c r="BW239">
        <v>4</v>
      </c>
      <c r="BX239">
        <v>0</v>
      </c>
      <c r="BY239">
        <v>1</v>
      </c>
      <c r="BZ239">
        <v>215</v>
      </c>
      <c r="CA239">
        <v>5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5</v>
      </c>
      <c r="CK239">
        <v>0</v>
      </c>
      <c r="CL239">
        <v>5</v>
      </c>
      <c r="CM239">
        <v>2</v>
      </c>
      <c r="CN239">
        <v>1</v>
      </c>
      <c r="CO239">
        <v>0</v>
      </c>
      <c r="CP239">
        <v>0</v>
      </c>
      <c r="CQ239">
        <v>0</v>
      </c>
      <c r="CR239">
        <v>0</v>
      </c>
      <c r="CS239">
        <v>1</v>
      </c>
      <c r="CT239">
        <v>0</v>
      </c>
      <c r="CU239">
        <v>0</v>
      </c>
      <c r="CV239">
        <v>0</v>
      </c>
      <c r="CW239">
        <v>0</v>
      </c>
      <c r="CX239">
        <v>2</v>
      </c>
      <c r="CY239">
        <v>14</v>
      </c>
      <c r="CZ239">
        <v>9</v>
      </c>
      <c r="DA239">
        <v>0</v>
      </c>
      <c r="DB239">
        <v>4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1</v>
      </c>
      <c r="DJ239">
        <v>14</v>
      </c>
      <c r="DK239">
        <v>17</v>
      </c>
      <c r="DL239">
        <v>14</v>
      </c>
      <c r="DM239">
        <v>1</v>
      </c>
      <c r="DN239">
        <v>1</v>
      </c>
      <c r="DO239">
        <v>1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17</v>
      </c>
      <c r="DW239">
        <v>27</v>
      </c>
      <c r="DX239">
        <v>0</v>
      </c>
      <c r="DY239">
        <v>16</v>
      </c>
      <c r="DZ239">
        <v>1</v>
      </c>
      <c r="EA239">
        <v>2</v>
      </c>
      <c r="EB239">
        <v>0</v>
      </c>
      <c r="EC239">
        <v>3</v>
      </c>
      <c r="ED239">
        <v>2</v>
      </c>
      <c r="EE239">
        <v>2</v>
      </c>
      <c r="EF239">
        <v>1</v>
      </c>
      <c r="EG239">
        <v>0</v>
      </c>
      <c r="EH239">
        <v>27</v>
      </c>
      <c r="EI239">
        <v>1</v>
      </c>
      <c r="EJ239">
        <v>1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1</v>
      </c>
      <c r="ES239">
        <v>1</v>
      </c>
      <c r="ET239">
        <v>0</v>
      </c>
      <c r="EU239">
        <v>1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1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</row>
    <row r="240" spans="1:172" ht="14.25">
      <c r="A240">
        <v>235</v>
      </c>
      <c r="B240" t="str">
        <f>"101503"</f>
        <v>101503</v>
      </c>
      <c r="C240" t="str">
        <f>"Godzianów"</f>
        <v>Godzianów</v>
      </c>
      <c r="D240" t="str">
        <f t="shared" si="45"/>
        <v>Skierniewicki</v>
      </c>
      <c r="E240" t="str">
        <f t="shared" si="39"/>
        <v>łódzkie</v>
      </c>
      <c r="F240">
        <v>2</v>
      </c>
      <c r="G240" t="str">
        <f>"Strażnica OSP, Byczki 108, 96-126 Godzianów"</f>
        <v>Strażnica OSP, Byczki 108, 96-126 Godzianów</v>
      </c>
      <c r="H240">
        <v>610</v>
      </c>
      <c r="I240">
        <v>610</v>
      </c>
      <c r="J240">
        <v>0</v>
      </c>
      <c r="K240">
        <v>430</v>
      </c>
      <c r="L240">
        <v>260</v>
      </c>
      <c r="M240">
        <v>170</v>
      </c>
      <c r="N240">
        <v>170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170</v>
      </c>
      <c r="Z240">
        <v>0</v>
      </c>
      <c r="AA240">
        <v>0</v>
      </c>
      <c r="AB240">
        <v>170</v>
      </c>
      <c r="AC240">
        <v>3</v>
      </c>
      <c r="AD240">
        <v>167</v>
      </c>
      <c r="AE240">
        <v>2</v>
      </c>
      <c r="AF240">
        <v>0</v>
      </c>
      <c r="AG240">
        <v>2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2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1</v>
      </c>
      <c r="BD240">
        <v>1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1</v>
      </c>
      <c r="BO240">
        <v>116</v>
      </c>
      <c r="BP240">
        <v>106</v>
      </c>
      <c r="BQ240">
        <v>3</v>
      </c>
      <c r="BR240">
        <v>0</v>
      </c>
      <c r="BS240">
        <v>0</v>
      </c>
      <c r="BT240">
        <v>0</v>
      </c>
      <c r="BU240">
        <v>6</v>
      </c>
      <c r="BV240">
        <v>0</v>
      </c>
      <c r="BW240">
        <v>0</v>
      </c>
      <c r="BX240">
        <v>0</v>
      </c>
      <c r="BY240">
        <v>1</v>
      </c>
      <c r="BZ240">
        <v>116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1</v>
      </c>
      <c r="CN240">
        <v>1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1</v>
      </c>
      <c r="CY240">
        <v>17</v>
      </c>
      <c r="CZ240">
        <v>12</v>
      </c>
      <c r="DA240">
        <v>2</v>
      </c>
      <c r="DB240">
        <v>2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1</v>
      </c>
      <c r="DI240">
        <v>0</v>
      </c>
      <c r="DJ240">
        <v>17</v>
      </c>
      <c r="DK240">
        <v>4</v>
      </c>
      <c r="DL240">
        <v>1</v>
      </c>
      <c r="DM240">
        <v>2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1</v>
      </c>
      <c r="DV240">
        <v>4</v>
      </c>
      <c r="DW240">
        <v>26</v>
      </c>
      <c r="DX240">
        <v>1</v>
      </c>
      <c r="DY240">
        <v>9</v>
      </c>
      <c r="DZ240">
        <v>0</v>
      </c>
      <c r="EA240">
        <v>1</v>
      </c>
      <c r="EB240">
        <v>1</v>
      </c>
      <c r="EC240">
        <v>11</v>
      </c>
      <c r="ED240">
        <v>0</v>
      </c>
      <c r="EE240">
        <v>1</v>
      </c>
      <c r="EF240">
        <v>1</v>
      </c>
      <c r="EG240">
        <v>1</v>
      </c>
      <c r="EH240">
        <v>26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</row>
    <row r="241" spans="1:172" ht="14.25">
      <c r="A241">
        <v>236</v>
      </c>
      <c r="B241" t="str">
        <f>"101504"</f>
        <v>101504</v>
      </c>
      <c r="C241" t="str">
        <f>"Kowiesy"</f>
        <v>Kowiesy</v>
      </c>
      <c r="D241" t="str">
        <f t="shared" si="45"/>
        <v>Skierniewicki</v>
      </c>
      <c r="E241" t="str">
        <f t="shared" si="39"/>
        <v>łódzkie</v>
      </c>
      <c r="F241">
        <v>1</v>
      </c>
      <c r="G241" t="str">
        <f>"Urząd Gminy, Kowiesy 85, 96-111 Kowiesy"</f>
        <v>Urząd Gminy, Kowiesy 85, 96-111 Kowiesy</v>
      </c>
      <c r="H241">
        <v>507</v>
      </c>
      <c r="I241">
        <v>507</v>
      </c>
      <c r="J241">
        <v>0</v>
      </c>
      <c r="K241">
        <v>360</v>
      </c>
      <c r="L241">
        <v>219</v>
      </c>
      <c r="M241">
        <v>141</v>
      </c>
      <c r="N241">
        <v>141</v>
      </c>
      <c r="O241">
        <v>0</v>
      </c>
      <c r="P241">
        <v>0</v>
      </c>
      <c r="Q241">
        <v>1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141</v>
      </c>
      <c r="Z241">
        <v>0</v>
      </c>
      <c r="AA241">
        <v>0</v>
      </c>
      <c r="AB241">
        <v>141</v>
      </c>
      <c r="AC241">
        <v>9</v>
      </c>
      <c r="AD241">
        <v>132</v>
      </c>
      <c r="AE241">
        <v>1</v>
      </c>
      <c r="AF241">
        <v>0</v>
      </c>
      <c r="AG241">
        <v>1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1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5</v>
      </c>
      <c r="BD241">
        <v>1</v>
      </c>
      <c r="BE241">
        <v>3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1</v>
      </c>
      <c r="BM241">
        <v>0</v>
      </c>
      <c r="BN241">
        <v>5</v>
      </c>
      <c r="BO241">
        <v>61</v>
      </c>
      <c r="BP241">
        <v>56</v>
      </c>
      <c r="BQ241">
        <v>1</v>
      </c>
      <c r="BR241">
        <v>0</v>
      </c>
      <c r="BS241">
        <v>1</v>
      </c>
      <c r="BT241">
        <v>0</v>
      </c>
      <c r="BU241">
        <v>1</v>
      </c>
      <c r="BV241">
        <v>0</v>
      </c>
      <c r="BW241">
        <v>0</v>
      </c>
      <c r="BX241">
        <v>2</v>
      </c>
      <c r="BY241">
        <v>0</v>
      </c>
      <c r="BZ241">
        <v>61</v>
      </c>
      <c r="CA241">
        <v>1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1</v>
      </c>
      <c r="CL241">
        <v>1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11</v>
      </c>
      <c r="CZ241">
        <v>5</v>
      </c>
      <c r="DA241">
        <v>2</v>
      </c>
      <c r="DB241">
        <v>2</v>
      </c>
      <c r="DC241">
        <v>0</v>
      </c>
      <c r="DD241">
        <v>2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11</v>
      </c>
      <c r="DK241">
        <v>21</v>
      </c>
      <c r="DL241">
        <v>16</v>
      </c>
      <c r="DM241">
        <v>2</v>
      </c>
      <c r="DN241">
        <v>0</v>
      </c>
      <c r="DO241">
        <v>1</v>
      </c>
      <c r="DP241">
        <v>1</v>
      </c>
      <c r="DQ241">
        <v>0</v>
      </c>
      <c r="DR241">
        <v>0</v>
      </c>
      <c r="DS241">
        <v>0</v>
      </c>
      <c r="DT241">
        <v>0</v>
      </c>
      <c r="DU241">
        <v>1</v>
      </c>
      <c r="DV241">
        <v>21</v>
      </c>
      <c r="DW241">
        <v>32</v>
      </c>
      <c r="DX241">
        <v>4</v>
      </c>
      <c r="DY241">
        <v>14</v>
      </c>
      <c r="DZ241">
        <v>0</v>
      </c>
      <c r="EA241">
        <v>0</v>
      </c>
      <c r="EB241">
        <v>2</v>
      </c>
      <c r="EC241">
        <v>4</v>
      </c>
      <c r="ED241">
        <v>0</v>
      </c>
      <c r="EE241">
        <v>1</v>
      </c>
      <c r="EF241">
        <v>0</v>
      </c>
      <c r="EG241">
        <v>7</v>
      </c>
      <c r="EH241">
        <v>32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</row>
    <row r="242" spans="1:172" ht="14.25">
      <c r="A242">
        <v>237</v>
      </c>
      <c r="B242" t="str">
        <f>"101504"</f>
        <v>101504</v>
      </c>
      <c r="C242" t="str">
        <f>"Kowiesy"</f>
        <v>Kowiesy</v>
      </c>
      <c r="D242" t="str">
        <f t="shared" si="45"/>
        <v>Skierniewicki</v>
      </c>
      <c r="E242" t="str">
        <f t="shared" si="39"/>
        <v>łódzkie</v>
      </c>
      <c r="F242">
        <v>2</v>
      </c>
      <c r="G242" t="str">
        <f>"Publiczne Gimnazjum, Jeruzal 18, 96-111 Kowiesy"</f>
        <v>Publiczne Gimnazjum, Jeruzal 18, 96-111 Kowiesy</v>
      </c>
      <c r="H242">
        <v>537</v>
      </c>
      <c r="I242">
        <v>537</v>
      </c>
      <c r="J242">
        <v>0</v>
      </c>
      <c r="K242">
        <v>380</v>
      </c>
      <c r="L242">
        <v>283</v>
      </c>
      <c r="M242">
        <v>97</v>
      </c>
      <c r="N242">
        <v>97</v>
      </c>
      <c r="O242">
        <v>0</v>
      </c>
      <c r="P242">
        <v>0</v>
      </c>
      <c r="Q242">
        <v>5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97</v>
      </c>
      <c r="Z242">
        <v>0</v>
      </c>
      <c r="AA242">
        <v>0</v>
      </c>
      <c r="AB242">
        <v>97</v>
      </c>
      <c r="AC242">
        <v>3</v>
      </c>
      <c r="AD242">
        <v>94</v>
      </c>
      <c r="AE242">
        <v>1</v>
      </c>
      <c r="AF242">
        <v>0</v>
      </c>
      <c r="AG242">
        <v>0</v>
      </c>
      <c r="AH242">
        <v>1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1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54</v>
      </c>
      <c r="BP242">
        <v>50</v>
      </c>
      <c r="BQ242">
        <v>1</v>
      </c>
      <c r="BR242">
        <v>2</v>
      </c>
      <c r="BS242">
        <v>0</v>
      </c>
      <c r="BT242">
        <v>1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54</v>
      </c>
      <c r="CA242">
        <v>3</v>
      </c>
      <c r="CB242">
        <v>3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3</v>
      </c>
      <c r="CM242">
        <v>2</v>
      </c>
      <c r="CN242">
        <v>1</v>
      </c>
      <c r="CO242">
        <v>0</v>
      </c>
      <c r="CP242">
        <v>0</v>
      </c>
      <c r="CQ242">
        <v>1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2</v>
      </c>
      <c r="CY242">
        <v>6</v>
      </c>
      <c r="CZ242">
        <v>4</v>
      </c>
      <c r="DA242">
        <v>1</v>
      </c>
      <c r="DB242">
        <v>0</v>
      </c>
      <c r="DC242">
        <v>0</v>
      </c>
      <c r="DD242">
        <v>1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6</v>
      </c>
      <c r="DK242">
        <v>10</v>
      </c>
      <c r="DL242">
        <v>9</v>
      </c>
      <c r="DM242">
        <v>1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10</v>
      </c>
      <c r="DW242">
        <v>18</v>
      </c>
      <c r="DX242">
        <v>0</v>
      </c>
      <c r="DY242">
        <v>6</v>
      </c>
      <c r="DZ242">
        <v>1</v>
      </c>
      <c r="EA242">
        <v>0</v>
      </c>
      <c r="EB242">
        <v>0</v>
      </c>
      <c r="EC242">
        <v>1</v>
      </c>
      <c r="ED242">
        <v>0</v>
      </c>
      <c r="EE242">
        <v>0</v>
      </c>
      <c r="EF242">
        <v>0</v>
      </c>
      <c r="EG242">
        <v>10</v>
      </c>
      <c r="EH242">
        <v>18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</row>
    <row r="243" spans="1:172" ht="14.25">
      <c r="A243">
        <v>238</v>
      </c>
      <c r="B243" t="str">
        <f>"101504"</f>
        <v>101504</v>
      </c>
      <c r="C243" t="str">
        <f>"Kowiesy"</f>
        <v>Kowiesy</v>
      </c>
      <c r="D243" t="str">
        <f t="shared" si="45"/>
        <v>Skierniewicki</v>
      </c>
      <c r="E243" t="str">
        <f t="shared" si="39"/>
        <v>łódzkie</v>
      </c>
      <c r="F243">
        <v>3</v>
      </c>
      <c r="G243" t="str">
        <f>"Świetlica wiejska, Wola Pękoszewska 72a, 96-111 Kowiesy"</f>
        <v>Świetlica wiejska, Wola Pękoszewska 72a, 96-111 Kowiesy</v>
      </c>
      <c r="H243">
        <v>465</v>
      </c>
      <c r="I243">
        <v>465</v>
      </c>
      <c r="J243">
        <v>0</v>
      </c>
      <c r="K243">
        <v>330</v>
      </c>
      <c r="L243">
        <v>262</v>
      </c>
      <c r="M243">
        <v>68</v>
      </c>
      <c r="N243">
        <v>68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68</v>
      </c>
      <c r="Z243">
        <v>0</v>
      </c>
      <c r="AA243">
        <v>0</v>
      </c>
      <c r="AB243">
        <v>68</v>
      </c>
      <c r="AC243">
        <v>4</v>
      </c>
      <c r="AD243">
        <v>64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26</v>
      </c>
      <c r="BP243">
        <v>24</v>
      </c>
      <c r="BQ243">
        <v>0</v>
      </c>
      <c r="BR243">
        <v>0</v>
      </c>
      <c r="BS243">
        <v>0</v>
      </c>
      <c r="BT243">
        <v>1</v>
      </c>
      <c r="BU243">
        <v>1</v>
      </c>
      <c r="BV243">
        <v>0</v>
      </c>
      <c r="BW243">
        <v>0</v>
      </c>
      <c r="BX243">
        <v>0</v>
      </c>
      <c r="BY243">
        <v>0</v>
      </c>
      <c r="BZ243">
        <v>26</v>
      </c>
      <c r="CA243">
        <v>3</v>
      </c>
      <c r="CB243">
        <v>3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3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4</v>
      </c>
      <c r="CZ243">
        <v>3</v>
      </c>
      <c r="DA243">
        <v>0</v>
      </c>
      <c r="DB243">
        <v>0</v>
      </c>
      <c r="DC243">
        <v>1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4</v>
      </c>
      <c r="DK243">
        <v>9</v>
      </c>
      <c r="DL243">
        <v>8</v>
      </c>
      <c r="DM243">
        <v>1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9</v>
      </c>
      <c r="DW243">
        <v>21</v>
      </c>
      <c r="DX243">
        <v>1</v>
      </c>
      <c r="DY243">
        <v>14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1</v>
      </c>
      <c r="EF243">
        <v>1</v>
      </c>
      <c r="EG243">
        <v>4</v>
      </c>
      <c r="EH243">
        <v>21</v>
      </c>
      <c r="EI243">
        <v>1</v>
      </c>
      <c r="EJ243">
        <v>0</v>
      </c>
      <c r="EK243">
        <v>1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1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</row>
    <row r="244" spans="1:172" ht="14.25">
      <c r="A244">
        <v>239</v>
      </c>
      <c r="B244" t="str">
        <f>"101504"</f>
        <v>101504</v>
      </c>
      <c r="C244" t="str">
        <f>"Kowiesy"</f>
        <v>Kowiesy</v>
      </c>
      <c r="D244" t="str">
        <f t="shared" si="45"/>
        <v>Skierniewicki</v>
      </c>
      <c r="E244" t="str">
        <f t="shared" si="39"/>
        <v>łódzkie</v>
      </c>
      <c r="F244">
        <v>4</v>
      </c>
      <c r="G244" t="str">
        <f>"Niepubliczna Szkoła Podstawowa, Turowa Wola 20, 96-111 Kowiesy"</f>
        <v>Niepubliczna Szkoła Podstawowa, Turowa Wola 20, 96-111 Kowiesy</v>
      </c>
      <c r="H244">
        <v>416</v>
      </c>
      <c r="I244">
        <v>416</v>
      </c>
      <c r="J244">
        <v>0</v>
      </c>
      <c r="K244">
        <v>290</v>
      </c>
      <c r="L244">
        <v>213</v>
      </c>
      <c r="M244">
        <v>77</v>
      </c>
      <c r="N244">
        <v>77</v>
      </c>
      <c r="O244">
        <v>0</v>
      </c>
      <c r="P244">
        <v>1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77</v>
      </c>
      <c r="Z244">
        <v>0</v>
      </c>
      <c r="AA244">
        <v>0</v>
      </c>
      <c r="AB244">
        <v>77</v>
      </c>
      <c r="AC244">
        <v>2</v>
      </c>
      <c r="AD244">
        <v>75</v>
      </c>
      <c r="AE244">
        <v>1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1</v>
      </c>
      <c r="AM244">
        <v>0</v>
      </c>
      <c r="AN244">
        <v>0</v>
      </c>
      <c r="AO244">
        <v>0</v>
      </c>
      <c r="AP244">
        <v>1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43</v>
      </c>
      <c r="BP244">
        <v>37</v>
      </c>
      <c r="BQ244">
        <v>0</v>
      </c>
      <c r="BR244">
        <v>1</v>
      </c>
      <c r="BS244">
        <v>2</v>
      </c>
      <c r="BT244">
        <v>0</v>
      </c>
      <c r="BU244">
        <v>3</v>
      </c>
      <c r="BV244">
        <v>0</v>
      </c>
      <c r="BW244">
        <v>0</v>
      </c>
      <c r="BX244">
        <v>0</v>
      </c>
      <c r="BY244">
        <v>0</v>
      </c>
      <c r="BZ244">
        <v>43</v>
      </c>
      <c r="CA244">
        <v>1</v>
      </c>
      <c r="CB244">
        <v>1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1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3</v>
      </c>
      <c r="CZ244">
        <v>1</v>
      </c>
      <c r="DA244">
        <v>0</v>
      </c>
      <c r="DB244">
        <v>0</v>
      </c>
      <c r="DC244">
        <v>1</v>
      </c>
      <c r="DD244">
        <v>0</v>
      </c>
      <c r="DE244">
        <v>0</v>
      </c>
      <c r="DF244">
        <v>0</v>
      </c>
      <c r="DG244">
        <v>1</v>
      </c>
      <c r="DH244">
        <v>0</v>
      </c>
      <c r="DI244">
        <v>0</v>
      </c>
      <c r="DJ244">
        <v>3</v>
      </c>
      <c r="DK244">
        <v>7</v>
      </c>
      <c r="DL244">
        <v>5</v>
      </c>
      <c r="DM244">
        <v>0</v>
      </c>
      <c r="DN244">
        <v>1</v>
      </c>
      <c r="DO244">
        <v>0</v>
      </c>
      <c r="DP244">
        <v>1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7</v>
      </c>
      <c r="DW244">
        <v>20</v>
      </c>
      <c r="DX244">
        <v>0</v>
      </c>
      <c r="DY244">
        <v>10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5</v>
      </c>
      <c r="EF244">
        <v>0</v>
      </c>
      <c r="EG244">
        <v>5</v>
      </c>
      <c r="EH244">
        <v>20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</row>
    <row r="245" spans="1:172" ht="14.25">
      <c r="A245">
        <v>240</v>
      </c>
      <c r="B245" t="str">
        <f>"101504"</f>
        <v>101504</v>
      </c>
      <c r="C245" t="str">
        <f>"Kowiesy"</f>
        <v>Kowiesy</v>
      </c>
      <c r="D245" t="str">
        <f t="shared" si="45"/>
        <v>Skierniewicki</v>
      </c>
      <c r="E245" t="str">
        <f t="shared" si="39"/>
        <v>łódzkie</v>
      </c>
      <c r="F245">
        <v>5</v>
      </c>
      <c r="G245" t="str">
        <f>"Świetlica wiejska, Stary Wylezin 12, 96-111 Kowiesy"</f>
        <v>Świetlica wiejska, Stary Wylezin 12, 96-111 Kowiesy</v>
      </c>
      <c r="H245">
        <v>510</v>
      </c>
      <c r="I245">
        <v>510</v>
      </c>
      <c r="J245">
        <v>0</v>
      </c>
      <c r="K245">
        <v>360</v>
      </c>
      <c r="L245">
        <v>207</v>
      </c>
      <c r="M245">
        <v>153</v>
      </c>
      <c r="N245">
        <v>153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153</v>
      </c>
      <c r="Z245">
        <v>0</v>
      </c>
      <c r="AA245">
        <v>0</v>
      </c>
      <c r="AB245">
        <v>153</v>
      </c>
      <c r="AC245">
        <v>4</v>
      </c>
      <c r="AD245">
        <v>149</v>
      </c>
      <c r="AE245">
        <v>5</v>
      </c>
      <c r="AF245">
        <v>2</v>
      </c>
      <c r="AG245">
        <v>1</v>
      </c>
      <c r="AH245">
        <v>0</v>
      </c>
      <c r="AI245">
        <v>0</v>
      </c>
      <c r="AJ245">
        <v>1</v>
      </c>
      <c r="AK245">
        <v>0</v>
      </c>
      <c r="AL245">
        <v>0</v>
      </c>
      <c r="AM245">
        <v>0</v>
      </c>
      <c r="AN245">
        <v>1</v>
      </c>
      <c r="AO245">
        <v>0</v>
      </c>
      <c r="AP245">
        <v>5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4</v>
      </c>
      <c r="BD245">
        <v>3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1</v>
      </c>
      <c r="BM245">
        <v>0</v>
      </c>
      <c r="BN245">
        <v>4</v>
      </c>
      <c r="BO245">
        <v>60</v>
      </c>
      <c r="BP245">
        <v>58</v>
      </c>
      <c r="BQ245">
        <v>0</v>
      </c>
      <c r="BR245">
        <v>0</v>
      </c>
      <c r="BS245">
        <v>0</v>
      </c>
      <c r="BT245">
        <v>0</v>
      </c>
      <c r="BU245">
        <v>2</v>
      </c>
      <c r="BV245">
        <v>0</v>
      </c>
      <c r="BW245">
        <v>0</v>
      </c>
      <c r="BX245">
        <v>0</v>
      </c>
      <c r="BY245">
        <v>0</v>
      </c>
      <c r="BZ245">
        <v>60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4</v>
      </c>
      <c r="CZ245">
        <v>2</v>
      </c>
      <c r="DA245">
        <v>2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4</v>
      </c>
      <c r="DK245">
        <v>9</v>
      </c>
      <c r="DL245">
        <v>5</v>
      </c>
      <c r="DM245">
        <v>1</v>
      </c>
      <c r="DN245">
        <v>0</v>
      </c>
      <c r="DO245">
        <v>0</v>
      </c>
      <c r="DP245">
        <v>0</v>
      </c>
      <c r="DQ245">
        <v>0</v>
      </c>
      <c r="DR245">
        <v>1</v>
      </c>
      <c r="DS245">
        <v>2</v>
      </c>
      <c r="DT245">
        <v>0</v>
      </c>
      <c r="DU245">
        <v>0</v>
      </c>
      <c r="DV245">
        <v>9</v>
      </c>
      <c r="DW245">
        <v>66</v>
      </c>
      <c r="DX245">
        <v>1</v>
      </c>
      <c r="DY245">
        <v>21</v>
      </c>
      <c r="DZ245">
        <v>0</v>
      </c>
      <c r="EA245">
        <v>1</v>
      </c>
      <c r="EB245">
        <v>0</v>
      </c>
      <c r="EC245">
        <v>5</v>
      </c>
      <c r="ED245">
        <v>2</v>
      </c>
      <c r="EE245">
        <v>0</v>
      </c>
      <c r="EF245">
        <v>6</v>
      </c>
      <c r="EG245">
        <v>30</v>
      </c>
      <c r="EH245">
        <v>66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1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1</v>
      </c>
      <c r="FD245">
        <v>1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</row>
    <row r="246" spans="1:172" ht="14.25">
      <c r="A246">
        <v>241</v>
      </c>
      <c r="B246" t="str">
        <f>"101505"</f>
        <v>101505</v>
      </c>
      <c r="C246" t="str">
        <f>"Lipce Reymontowskie"</f>
        <v>Lipce Reymontowskie</v>
      </c>
      <c r="D246" t="str">
        <f t="shared" si="45"/>
        <v>Skierniewicki</v>
      </c>
      <c r="E246" t="str">
        <f t="shared" si="39"/>
        <v>łódzkie</v>
      </c>
      <c r="F246">
        <v>1</v>
      </c>
      <c r="G246" t="str">
        <f>"Gminny Ośrodek Kultury, Sportu i Rekreacji, ul. Reymonta 24, 96-127 Lipce Reymontowskie"</f>
        <v>Gminny Ośrodek Kultury, Sportu i Rekreacji, ul. Reymonta 24, 96-127 Lipce Reymontowskie</v>
      </c>
      <c r="H246">
        <v>1661</v>
      </c>
      <c r="I246">
        <v>1661</v>
      </c>
      <c r="J246">
        <v>0</v>
      </c>
      <c r="K246">
        <v>1170</v>
      </c>
      <c r="L246">
        <v>863</v>
      </c>
      <c r="M246">
        <v>307</v>
      </c>
      <c r="N246">
        <v>307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307</v>
      </c>
      <c r="Z246">
        <v>0</v>
      </c>
      <c r="AA246">
        <v>0</v>
      </c>
      <c r="AB246">
        <v>307</v>
      </c>
      <c r="AC246">
        <v>8</v>
      </c>
      <c r="AD246">
        <v>299</v>
      </c>
      <c r="AE246">
        <v>5</v>
      </c>
      <c r="AF246">
        <v>2</v>
      </c>
      <c r="AG246">
        <v>0</v>
      </c>
      <c r="AH246">
        <v>0</v>
      </c>
      <c r="AI246">
        <v>1</v>
      </c>
      <c r="AJ246">
        <v>0</v>
      </c>
      <c r="AK246">
        <v>0</v>
      </c>
      <c r="AL246">
        <v>1</v>
      </c>
      <c r="AM246">
        <v>0</v>
      </c>
      <c r="AN246">
        <v>0</v>
      </c>
      <c r="AO246">
        <v>1</v>
      </c>
      <c r="AP246">
        <v>5</v>
      </c>
      <c r="AQ246">
        <v>4</v>
      </c>
      <c r="AR246">
        <v>2</v>
      </c>
      <c r="AS246">
        <v>0</v>
      </c>
      <c r="AT246">
        <v>0</v>
      </c>
      <c r="AU246">
        <v>0</v>
      </c>
      <c r="AV246">
        <v>1</v>
      </c>
      <c r="AW246">
        <v>0</v>
      </c>
      <c r="AX246">
        <v>1</v>
      </c>
      <c r="AY246">
        <v>0</v>
      </c>
      <c r="AZ246">
        <v>0</v>
      </c>
      <c r="BA246">
        <v>0</v>
      </c>
      <c r="BB246">
        <v>4</v>
      </c>
      <c r="BC246">
        <v>12</v>
      </c>
      <c r="BD246">
        <v>9</v>
      </c>
      <c r="BE246">
        <v>1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2</v>
      </c>
      <c r="BN246">
        <v>12</v>
      </c>
      <c r="BO246">
        <v>172</v>
      </c>
      <c r="BP246">
        <v>164</v>
      </c>
      <c r="BQ246">
        <v>1</v>
      </c>
      <c r="BR246">
        <v>1</v>
      </c>
      <c r="BS246">
        <v>0</v>
      </c>
      <c r="BT246">
        <v>1</v>
      </c>
      <c r="BU246">
        <v>3</v>
      </c>
      <c r="BV246">
        <v>0</v>
      </c>
      <c r="BW246">
        <v>0</v>
      </c>
      <c r="BX246">
        <v>1</v>
      </c>
      <c r="BY246">
        <v>1</v>
      </c>
      <c r="BZ246">
        <v>172</v>
      </c>
      <c r="CA246">
        <v>2</v>
      </c>
      <c r="CB246">
        <v>2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2</v>
      </c>
      <c r="CM246">
        <v>2</v>
      </c>
      <c r="CN246">
        <v>1</v>
      </c>
      <c r="CO246">
        <v>1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2</v>
      </c>
      <c r="CY246">
        <v>17</v>
      </c>
      <c r="CZ246">
        <v>11</v>
      </c>
      <c r="DA246">
        <v>1</v>
      </c>
      <c r="DB246">
        <v>1</v>
      </c>
      <c r="DC246">
        <v>1</v>
      </c>
      <c r="DD246">
        <v>1</v>
      </c>
      <c r="DE246">
        <v>0</v>
      </c>
      <c r="DF246">
        <v>0</v>
      </c>
      <c r="DG246">
        <v>2</v>
      </c>
      <c r="DH246">
        <v>0</v>
      </c>
      <c r="DI246">
        <v>0</v>
      </c>
      <c r="DJ246">
        <v>17</v>
      </c>
      <c r="DK246">
        <v>46</v>
      </c>
      <c r="DL246">
        <v>26</v>
      </c>
      <c r="DM246">
        <v>15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2</v>
      </c>
      <c r="DT246">
        <v>0</v>
      </c>
      <c r="DU246">
        <v>3</v>
      </c>
      <c r="DV246">
        <v>46</v>
      </c>
      <c r="DW246">
        <v>37</v>
      </c>
      <c r="DX246">
        <v>4</v>
      </c>
      <c r="DY246">
        <v>12</v>
      </c>
      <c r="DZ246">
        <v>0</v>
      </c>
      <c r="EA246">
        <v>0</v>
      </c>
      <c r="EB246">
        <v>1</v>
      </c>
      <c r="EC246">
        <v>18</v>
      </c>
      <c r="ED246">
        <v>0</v>
      </c>
      <c r="EE246">
        <v>0</v>
      </c>
      <c r="EF246">
        <v>0</v>
      </c>
      <c r="EG246">
        <v>2</v>
      </c>
      <c r="EH246">
        <v>37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2</v>
      </c>
      <c r="FF246">
        <v>1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1</v>
      </c>
      <c r="FP246">
        <v>2</v>
      </c>
    </row>
    <row r="247" spans="1:172" ht="14.25">
      <c r="A247">
        <v>242</v>
      </c>
      <c r="B247" t="str">
        <f>"101505"</f>
        <v>101505</v>
      </c>
      <c r="C247" t="str">
        <f>"Lipce Reymontowskie"</f>
        <v>Lipce Reymontowskie</v>
      </c>
      <c r="D247" t="str">
        <f t="shared" si="45"/>
        <v>Skierniewicki</v>
      </c>
      <c r="E247" t="str">
        <f t="shared" si="39"/>
        <v>łódzkie</v>
      </c>
      <c r="F247">
        <v>2</v>
      </c>
      <c r="G247" t="str">
        <f>"Szkoła Podstawowa, Mszadla 98, 96-127 Lipce Reymontowskie"</f>
        <v>Szkoła Podstawowa, Mszadla 98, 96-127 Lipce Reymontowskie</v>
      </c>
      <c r="H247">
        <v>553</v>
      </c>
      <c r="I247">
        <v>553</v>
      </c>
      <c r="J247">
        <v>0</v>
      </c>
      <c r="K247">
        <v>390</v>
      </c>
      <c r="L247">
        <v>303</v>
      </c>
      <c r="M247">
        <v>87</v>
      </c>
      <c r="N247">
        <v>87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87</v>
      </c>
      <c r="Z247">
        <v>0</v>
      </c>
      <c r="AA247">
        <v>0</v>
      </c>
      <c r="AB247">
        <v>87</v>
      </c>
      <c r="AC247">
        <v>1</v>
      </c>
      <c r="AD247">
        <v>86</v>
      </c>
      <c r="AE247">
        <v>1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1</v>
      </c>
      <c r="AP247">
        <v>1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1</v>
      </c>
      <c r="BD247">
        <v>1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1</v>
      </c>
      <c r="BO247">
        <v>50</v>
      </c>
      <c r="BP247">
        <v>49</v>
      </c>
      <c r="BQ247">
        <v>0</v>
      </c>
      <c r="BR247">
        <v>1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50</v>
      </c>
      <c r="CA247">
        <v>3</v>
      </c>
      <c r="CB247">
        <v>0</v>
      </c>
      <c r="CC247">
        <v>1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2</v>
      </c>
      <c r="CK247">
        <v>0</v>
      </c>
      <c r="CL247">
        <v>3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2</v>
      </c>
      <c r="CZ247">
        <v>0</v>
      </c>
      <c r="DA247">
        <v>1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1</v>
      </c>
      <c r="DH247">
        <v>0</v>
      </c>
      <c r="DI247">
        <v>0</v>
      </c>
      <c r="DJ247">
        <v>2</v>
      </c>
      <c r="DK247">
        <v>4</v>
      </c>
      <c r="DL247">
        <v>0</v>
      </c>
      <c r="DM247">
        <v>4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4</v>
      </c>
      <c r="DW247">
        <v>24</v>
      </c>
      <c r="DX247">
        <v>1</v>
      </c>
      <c r="DY247">
        <v>6</v>
      </c>
      <c r="DZ247">
        <v>0</v>
      </c>
      <c r="EA247">
        <v>0</v>
      </c>
      <c r="EB247">
        <v>2</v>
      </c>
      <c r="EC247">
        <v>12</v>
      </c>
      <c r="ED247">
        <v>1</v>
      </c>
      <c r="EE247">
        <v>0</v>
      </c>
      <c r="EF247">
        <v>2</v>
      </c>
      <c r="EG247">
        <v>0</v>
      </c>
      <c r="EH247">
        <v>24</v>
      </c>
      <c r="EI247">
        <v>1</v>
      </c>
      <c r="EJ247">
        <v>0</v>
      </c>
      <c r="EK247">
        <v>1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1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</row>
    <row r="248" spans="1:172" ht="14.25">
      <c r="A248">
        <v>243</v>
      </c>
      <c r="B248" t="str">
        <f>"101505"</f>
        <v>101505</v>
      </c>
      <c r="C248" t="str">
        <f>"Lipce Reymontowskie"</f>
        <v>Lipce Reymontowskie</v>
      </c>
      <c r="D248" t="str">
        <f t="shared" si="45"/>
        <v>Skierniewicki</v>
      </c>
      <c r="E248" t="str">
        <f t="shared" si="39"/>
        <v>łódzkie</v>
      </c>
      <c r="F248">
        <v>3</v>
      </c>
      <c r="G248" t="str">
        <f>"Szkoła Podstawowa, Drzewce 165, 96-127 Lipce Reymontowskie"</f>
        <v>Szkoła Podstawowa, Drzewce 165, 96-127 Lipce Reymontowskie</v>
      </c>
      <c r="H248">
        <v>464</v>
      </c>
      <c r="I248">
        <v>464</v>
      </c>
      <c r="J248">
        <v>0</v>
      </c>
      <c r="K248">
        <v>330</v>
      </c>
      <c r="L248">
        <v>252</v>
      </c>
      <c r="M248">
        <v>78</v>
      </c>
      <c r="N248">
        <v>78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78</v>
      </c>
      <c r="Z248">
        <v>0</v>
      </c>
      <c r="AA248">
        <v>0</v>
      </c>
      <c r="AB248">
        <v>78</v>
      </c>
      <c r="AC248">
        <v>4</v>
      </c>
      <c r="AD248">
        <v>74</v>
      </c>
      <c r="AE248">
        <v>2</v>
      </c>
      <c r="AF248">
        <v>0</v>
      </c>
      <c r="AG248">
        <v>0</v>
      </c>
      <c r="AH248">
        <v>0</v>
      </c>
      <c r="AI248">
        <v>1</v>
      </c>
      <c r="AJ248">
        <v>0</v>
      </c>
      <c r="AK248">
        <v>0</v>
      </c>
      <c r="AL248">
        <v>0</v>
      </c>
      <c r="AM248">
        <v>0</v>
      </c>
      <c r="AN248">
        <v>1</v>
      </c>
      <c r="AO248">
        <v>0</v>
      </c>
      <c r="AP248">
        <v>2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41</v>
      </c>
      <c r="BP248">
        <v>37</v>
      </c>
      <c r="BQ248">
        <v>1</v>
      </c>
      <c r="BR248">
        <v>2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1</v>
      </c>
      <c r="BZ248">
        <v>41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2</v>
      </c>
      <c r="CZ248">
        <v>0</v>
      </c>
      <c r="DA248">
        <v>1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1</v>
      </c>
      <c r="DH248">
        <v>0</v>
      </c>
      <c r="DI248">
        <v>0</v>
      </c>
      <c r="DJ248">
        <v>2</v>
      </c>
      <c r="DK248">
        <v>9</v>
      </c>
      <c r="DL248">
        <v>5</v>
      </c>
      <c r="DM248">
        <v>2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2</v>
      </c>
      <c r="DU248">
        <v>0</v>
      </c>
      <c r="DV248">
        <v>9</v>
      </c>
      <c r="DW248">
        <v>20</v>
      </c>
      <c r="DX248">
        <v>0</v>
      </c>
      <c r="DY248">
        <v>13</v>
      </c>
      <c r="DZ248">
        <v>0</v>
      </c>
      <c r="EA248">
        <v>0</v>
      </c>
      <c r="EB248">
        <v>0</v>
      </c>
      <c r="EC248">
        <v>7</v>
      </c>
      <c r="ED248">
        <v>0</v>
      </c>
      <c r="EE248">
        <v>0</v>
      </c>
      <c r="EF248">
        <v>0</v>
      </c>
      <c r="EG248">
        <v>0</v>
      </c>
      <c r="EH248">
        <v>20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</row>
    <row r="249" spans="1:172" ht="14.25">
      <c r="A249">
        <v>244</v>
      </c>
      <c r="B249" t="str">
        <f aca="true" t="shared" si="46" ref="B249:B254">"101506"</f>
        <v>101506</v>
      </c>
      <c r="C249" t="str">
        <f aca="true" t="shared" si="47" ref="C249:C254">"Maków"</f>
        <v>Maków</v>
      </c>
      <c r="D249" t="str">
        <f t="shared" si="45"/>
        <v>Skierniewicki</v>
      </c>
      <c r="E249" t="str">
        <f t="shared" si="39"/>
        <v>łódzkie</v>
      </c>
      <c r="F249">
        <v>1</v>
      </c>
      <c r="G249" t="str">
        <f>"Gimnazjum Świętego Wojciecha, ul. Akacjowa 2, 96-124 Maków"</f>
        <v>Gimnazjum Świętego Wojciecha, ul. Akacjowa 2, 96-124 Maków</v>
      </c>
      <c r="H249">
        <v>1665</v>
      </c>
      <c r="I249">
        <v>1665</v>
      </c>
      <c r="J249">
        <v>0</v>
      </c>
      <c r="K249">
        <v>1180</v>
      </c>
      <c r="L249">
        <v>796</v>
      </c>
      <c r="M249">
        <v>384</v>
      </c>
      <c r="N249">
        <v>384</v>
      </c>
      <c r="O249">
        <v>0</v>
      </c>
      <c r="P249">
        <v>0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384</v>
      </c>
      <c r="Z249">
        <v>0</v>
      </c>
      <c r="AA249">
        <v>0</v>
      </c>
      <c r="AB249">
        <v>384</v>
      </c>
      <c r="AC249">
        <v>11</v>
      </c>
      <c r="AD249">
        <v>373</v>
      </c>
      <c r="AE249">
        <v>7</v>
      </c>
      <c r="AF249">
        <v>2</v>
      </c>
      <c r="AG249">
        <v>3</v>
      </c>
      <c r="AH249">
        <v>0</v>
      </c>
      <c r="AI249">
        <v>0</v>
      </c>
      <c r="AJ249">
        <v>1</v>
      </c>
      <c r="AK249">
        <v>0</v>
      </c>
      <c r="AL249">
        <v>0</v>
      </c>
      <c r="AM249">
        <v>0</v>
      </c>
      <c r="AN249">
        <v>1</v>
      </c>
      <c r="AO249">
        <v>0</v>
      </c>
      <c r="AP249">
        <v>7</v>
      </c>
      <c r="AQ249">
        <v>6</v>
      </c>
      <c r="AR249">
        <v>4</v>
      </c>
      <c r="AS249">
        <v>2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6</v>
      </c>
      <c r="BC249">
        <v>10</v>
      </c>
      <c r="BD249">
        <v>5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1</v>
      </c>
      <c r="BL249">
        <v>0</v>
      </c>
      <c r="BM249">
        <v>4</v>
      </c>
      <c r="BN249">
        <v>10</v>
      </c>
      <c r="BO249">
        <v>246</v>
      </c>
      <c r="BP249">
        <v>237</v>
      </c>
      <c r="BQ249">
        <v>1</v>
      </c>
      <c r="BR249">
        <v>4</v>
      </c>
      <c r="BS249">
        <v>0</v>
      </c>
      <c r="BT249">
        <v>0</v>
      </c>
      <c r="BU249">
        <v>4</v>
      </c>
      <c r="BV249">
        <v>0</v>
      </c>
      <c r="BW249">
        <v>0</v>
      </c>
      <c r="BX249">
        <v>0</v>
      </c>
      <c r="BY249">
        <v>0</v>
      </c>
      <c r="BZ249">
        <v>246</v>
      </c>
      <c r="CA249">
        <v>4</v>
      </c>
      <c r="CB249">
        <v>2</v>
      </c>
      <c r="CC249">
        <v>2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4</v>
      </c>
      <c r="CM249">
        <v>6</v>
      </c>
      <c r="CN249">
        <v>3</v>
      </c>
      <c r="CO249">
        <v>3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6</v>
      </c>
      <c r="CY249">
        <v>14</v>
      </c>
      <c r="CZ249">
        <v>4</v>
      </c>
      <c r="DA249">
        <v>0</v>
      </c>
      <c r="DB249">
        <v>8</v>
      </c>
      <c r="DC249">
        <v>0</v>
      </c>
      <c r="DD249">
        <v>0</v>
      </c>
      <c r="DE249">
        <v>1</v>
      </c>
      <c r="DF249">
        <v>0</v>
      </c>
      <c r="DG249">
        <v>0</v>
      </c>
      <c r="DH249">
        <v>1</v>
      </c>
      <c r="DI249">
        <v>0</v>
      </c>
      <c r="DJ249">
        <v>14</v>
      </c>
      <c r="DK249">
        <v>47</v>
      </c>
      <c r="DL249">
        <v>31</v>
      </c>
      <c r="DM249">
        <v>14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1</v>
      </c>
      <c r="DU249">
        <v>1</v>
      </c>
      <c r="DV249">
        <v>47</v>
      </c>
      <c r="DW249">
        <v>32</v>
      </c>
      <c r="DX249">
        <v>1</v>
      </c>
      <c r="DY249">
        <v>16</v>
      </c>
      <c r="DZ249">
        <v>0</v>
      </c>
      <c r="EA249">
        <v>0</v>
      </c>
      <c r="EB249">
        <v>1</v>
      </c>
      <c r="EC249">
        <v>8</v>
      </c>
      <c r="ED249">
        <v>2</v>
      </c>
      <c r="EE249">
        <v>1</v>
      </c>
      <c r="EF249">
        <v>2</v>
      </c>
      <c r="EG249">
        <v>1</v>
      </c>
      <c r="EH249">
        <v>32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1</v>
      </c>
      <c r="ET249">
        <v>1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1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</row>
    <row r="250" spans="1:172" ht="14.25">
      <c r="A250">
        <v>245</v>
      </c>
      <c r="B250" t="str">
        <f t="shared" si="46"/>
        <v>101506</v>
      </c>
      <c r="C250" t="str">
        <f t="shared" si="47"/>
        <v>Maków</v>
      </c>
      <c r="D250" t="str">
        <f t="shared" si="45"/>
        <v>Skierniewicki</v>
      </c>
      <c r="E250" t="str">
        <f t="shared" si="39"/>
        <v>łódzkie</v>
      </c>
      <c r="F250">
        <v>2</v>
      </c>
      <c r="G250" t="str">
        <f>"Szkoła Podstawowa, Dąbrowice 86, 96-124 Maków"</f>
        <v>Szkoła Podstawowa, Dąbrowice 86, 96-124 Maków</v>
      </c>
      <c r="H250">
        <v>895</v>
      </c>
      <c r="I250">
        <v>895</v>
      </c>
      <c r="J250">
        <v>0</v>
      </c>
      <c r="K250">
        <v>630</v>
      </c>
      <c r="L250">
        <v>479</v>
      </c>
      <c r="M250">
        <v>151</v>
      </c>
      <c r="N250">
        <v>151</v>
      </c>
      <c r="O250">
        <v>0</v>
      </c>
      <c r="P250">
        <v>0</v>
      </c>
      <c r="Q250">
        <v>1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151</v>
      </c>
      <c r="Z250">
        <v>0</v>
      </c>
      <c r="AA250">
        <v>0</v>
      </c>
      <c r="AB250">
        <v>151</v>
      </c>
      <c r="AC250">
        <v>5</v>
      </c>
      <c r="AD250">
        <v>146</v>
      </c>
      <c r="AE250">
        <v>3</v>
      </c>
      <c r="AF250">
        <v>3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3</v>
      </c>
      <c r="AQ250">
        <v>1</v>
      </c>
      <c r="AR250">
        <v>1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1</v>
      </c>
      <c r="BC250">
        <v>7</v>
      </c>
      <c r="BD250">
        <v>2</v>
      </c>
      <c r="BE250">
        <v>1</v>
      </c>
      <c r="BF250">
        <v>0</v>
      </c>
      <c r="BG250">
        <v>1</v>
      </c>
      <c r="BH250">
        <v>1</v>
      </c>
      <c r="BI250">
        <v>0</v>
      </c>
      <c r="BJ250">
        <v>0</v>
      </c>
      <c r="BK250">
        <v>1</v>
      </c>
      <c r="BL250">
        <v>0</v>
      </c>
      <c r="BM250">
        <v>1</v>
      </c>
      <c r="BN250">
        <v>7</v>
      </c>
      <c r="BO250">
        <v>68</v>
      </c>
      <c r="BP250">
        <v>68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68</v>
      </c>
      <c r="CA250">
        <v>4</v>
      </c>
      <c r="CB250">
        <v>3</v>
      </c>
      <c r="CC250">
        <v>0</v>
      </c>
      <c r="CD250">
        <v>0</v>
      </c>
      <c r="CE250">
        <v>1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4</v>
      </c>
      <c r="CM250">
        <v>4</v>
      </c>
      <c r="CN250">
        <v>4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4</v>
      </c>
      <c r="CY250">
        <v>14</v>
      </c>
      <c r="CZ250">
        <v>7</v>
      </c>
      <c r="DA250">
        <v>0</v>
      </c>
      <c r="DB250">
        <v>6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1</v>
      </c>
      <c r="DI250">
        <v>0</v>
      </c>
      <c r="DJ250">
        <v>14</v>
      </c>
      <c r="DK250">
        <v>19</v>
      </c>
      <c r="DL250">
        <v>12</v>
      </c>
      <c r="DM250">
        <v>3</v>
      </c>
      <c r="DN250">
        <v>1</v>
      </c>
      <c r="DO250">
        <v>0</v>
      </c>
      <c r="DP250">
        <v>0</v>
      </c>
      <c r="DQ250">
        <v>0</v>
      </c>
      <c r="DR250">
        <v>1</v>
      </c>
      <c r="DS250">
        <v>0</v>
      </c>
      <c r="DT250">
        <v>2</v>
      </c>
      <c r="DU250">
        <v>0</v>
      </c>
      <c r="DV250">
        <v>19</v>
      </c>
      <c r="DW250">
        <v>23</v>
      </c>
      <c r="DX250">
        <v>1</v>
      </c>
      <c r="DY250">
        <v>11</v>
      </c>
      <c r="DZ250">
        <v>0</v>
      </c>
      <c r="EA250">
        <v>0</v>
      </c>
      <c r="EB250">
        <v>0</v>
      </c>
      <c r="EC250">
        <v>9</v>
      </c>
      <c r="ED250">
        <v>0</v>
      </c>
      <c r="EE250">
        <v>0</v>
      </c>
      <c r="EF250">
        <v>0</v>
      </c>
      <c r="EG250">
        <v>2</v>
      </c>
      <c r="EH250">
        <v>23</v>
      </c>
      <c r="EI250">
        <v>1</v>
      </c>
      <c r="EJ250">
        <v>0</v>
      </c>
      <c r="EK250">
        <v>1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1</v>
      </c>
      <c r="ES250">
        <v>1</v>
      </c>
      <c r="ET250">
        <v>1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1</v>
      </c>
      <c r="FE250">
        <v>1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1</v>
      </c>
      <c r="FN250">
        <v>0</v>
      </c>
      <c r="FO250">
        <v>0</v>
      </c>
      <c r="FP250">
        <v>1</v>
      </c>
    </row>
    <row r="251" spans="1:172" ht="14.25">
      <c r="A251">
        <v>246</v>
      </c>
      <c r="B251" t="str">
        <f t="shared" si="46"/>
        <v>101506</v>
      </c>
      <c r="C251" t="str">
        <f t="shared" si="47"/>
        <v>Maków</v>
      </c>
      <c r="D251" t="str">
        <f t="shared" si="45"/>
        <v>Skierniewicki</v>
      </c>
      <c r="E251" t="str">
        <f t="shared" si="39"/>
        <v>łódzkie</v>
      </c>
      <c r="F251">
        <v>3</v>
      </c>
      <c r="G251" t="str">
        <f>"Szkoła Podstawowa, Wola Makowska 25B, 96-124 Maków"</f>
        <v>Szkoła Podstawowa, Wola Makowska 25B, 96-124 Maków</v>
      </c>
      <c r="H251">
        <v>766</v>
      </c>
      <c r="I251">
        <v>766</v>
      </c>
      <c r="J251">
        <v>0</v>
      </c>
      <c r="K251">
        <v>530</v>
      </c>
      <c r="L251">
        <v>396</v>
      </c>
      <c r="M251">
        <v>134</v>
      </c>
      <c r="N251">
        <v>134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134</v>
      </c>
      <c r="Z251">
        <v>0</v>
      </c>
      <c r="AA251">
        <v>0</v>
      </c>
      <c r="AB251">
        <v>134</v>
      </c>
      <c r="AC251">
        <v>2</v>
      </c>
      <c r="AD251">
        <v>132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4</v>
      </c>
      <c r="AR251">
        <v>2</v>
      </c>
      <c r="AS251">
        <v>0</v>
      </c>
      <c r="AT251">
        <v>0</v>
      </c>
      <c r="AU251">
        <v>0</v>
      </c>
      <c r="AV251">
        <v>1</v>
      </c>
      <c r="AW251">
        <v>0</v>
      </c>
      <c r="AX251">
        <v>0</v>
      </c>
      <c r="AY251">
        <v>0</v>
      </c>
      <c r="AZ251">
        <v>1</v>
      </c>
      <c r="BA251">
        <v>0</v>
      </c>
      <c r="BB251">
        <v>4</v>
      </c>
      <c r="BC251">
        <v>3</v>
      </c>
      <c r="BD251">
        <v>2</v>
      </c>
      <c r="BE251">
        <v>1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3</v>
      </c>
      <c r="BO251">
        <v>87</v>
      </c>
      <c r="BP251">
        <v>83</v>
      </c>
      <c r="BQ251">
        <v>1</v>
      </c>
      <c r="BR251">
        <v>0</v>
      </c>
      <c r="BS251">
        <v>1</v>
      </c>
      <c r="BT251">
        <v>0</v>
      </c>
      <c r="BU251">
        <v>1</v>
      </c>
      <c r="BV251">
        <v>0</v>
      </c>
      <c r="BW251">
        <v>0</v>
      </c>
      <c r="BX251">
        <v>0</v>
      </c>
      <c r="BY251">
        <v>1</v>
      </c>
      <c r="BZ251">
        <v>87</v>
      </c>
      <c r="CA251">
        <v>3</v>
      </c>
      <c r="CB251">
        <v>1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2</v>
      </c>
      <c r="CK251">
        <v>0</v>
      </c>
      <c r="CL251">
        <v>3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13</v>
      </c>
      <c r="CZ251">
        <v>7</v>
      </c>
      <c r="DA251">
        <v>0</v>
      </c>
      <c r="DB251">
        <v>2</v>
      </c>
      <c r="DC251">
        <v>0</v>
      </c>
      <c r="DD251">
        <v>2</v>
      </c>
      <c r="DE251">
        <v>0</v>
      </c>
      <c r="DF251">
        <v>0</v>
      </c>
      <c r="DG251">
        <v>0</v>
      </c>
      <c r="DH251">
        <v>2</v>
      </c>
      <c r="DI251">
        <v>0</v>
      </c>
      <c r="DJ251">
        <v>13</v>
      </c>
      <c r="DK251">
        <v>7</v>
      </c>
      <c r="DL251">
        <v>3</v>
      </c>
      <c r="DM251">
        <v>2</v>
      </c>
      <c r="DN251">
        <v>0</v>
      </c>
      <c r="DO251">
        <v>1</v>
      </c>
      <c r="DP251">
        <v>1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7</v>
      </c>
      <c r="DW251">
        <v>13</v>
      </c>
      <c r="DX251">
        <v>0</v>
      </c>
      <c r="DY251">
        <v>6</v>
      </c>
      <c r="DZ251">
        <v>0</v>
      </c>
      <c r="EA251">
        <v>0</v>
      </c>
      <c r="EB251">
        <v>0</v>
      </c>
      <c r="EC251">
        <v>7</v>
      </c>
      <c r="ED251">
        <v>0</v>
      </c>
      <c r="EE251">
        <v>0</v>
      </c>
      <c r="EF251">
        <v>0</v>
      </c>
      <c r="EG251">
        <v>0</v>
      </c>
      <c r="EH251">
        <v>13</v>
      </c>
      <c r="EI251">
        <v>2</v>
      </c>
      <c r="EJ251">
        <v>0</v>
      </c>
      <c r="EK251">
        <v>1</v>
      </c>
      <c r="EL251">
        <v>0</v>
      </c>
      <c r="EM251">
        <v>0</v>
      </c>
      <c r="EN251">
        <v>0</v>
      </c>
      <c r="EO251">
        <v>0</v>
      </c>
      <c r="EP251">
        <v>1</v>
      </c>
      <c r="EQ251">
        <v>0</v>
      </c>
      <c r="ER251">
        <v>2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</row>
    <row r="252" spans="1:172" ht="14.25">
      <c r="A252">
        <v>247</v>
      </c>
      <c r="B252" t="str">
        <f t="shared" si="46"/>
        <v>101506</v>
      </c>
      <c r="C252" t="str">
        <f t="shared" si="47"/>
        <v>Maków</v>
      </c>
      <c r="D252" t="str">
        <f t="shared" si="45"/>
        <v>Skierniewicki</v>
      </c>
      <c r="E252" t="str">
        <f t="shared" si="39"/>
        <v>łódzkie</v>
      </c>
      <c r="F252">
        <v>4</v>
      </c>
      <c r="G252" t="str">
        <f>"Szkoła Podstawowa, ul.Główna 68, Słomków, 96-124 Maków"</f>
        <v>Szkoła Podstawowa, ul.Główna 68, Słomków, 96-124 Maków</v>
      </c>
      <c r="H252">
        <v>506</v>
      </c>
      <c r="I252">
        <v>506</v>
      </c>
      <c r="J252">
        <v>0</v>
      </c>
      <c r="K252">
        <v>350</v>
      </c>
      <c r="L252">
        <v>257</v>
      </c>
      <c r="M252">
        <v>93</v>
      </c>
      <c r="N252">
        <v>93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93</v>
      </c>
      <c r="Z252">
        <v>0</v>
      </c>
      <c r="AA252">
        <v>0</v>
      </c>
      <c r="AB252">
        <v>93</v>
      </c>
      <c r="AC252">
        <v>0</v>
      </c>
      <c r="AD252">
        <v>93</v>
      </c>
      <c r="AE252">
        <v>1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1</v>
      </c>
      <c r="AL252">
        <v>0</v>
      </c>
      <c r="AM252">
        <v>0</v>
      </c>
      <c r="AN252">
        <v>0</v>
      </c>
      <c r="AO252">
        <v>0</v>
      </c>
      <c r="AP252">
        <v>1</v>
      </c>
      <c r="AQ252">
        <v>1</v>
      </c>
      <c r="AR252">
        <v>0</v>
      </c>
      <c r="AS252">
        <v>1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1</v>
      </c>
      <c r="BC252">
        <v>4</v>
      </c>
      <c r="BD252">
        <v>0</v>
      </c>
      <c r="BE252">
        <v>1</v>
      </c>
      <c r="BF252">
        <v>0</v>
      </c>
      <c r="BG252">
        <v>1</v>
      </c>
      <c r="BH252">
        <v>0</v>
      </c>
      <c r="BI252">
        <v>1</v>
      </c>
      <c r="BJ252">
        <v>0</v>
      </c>
      <c r="BK252">
        <v>0</v>
      </c>
      <c r="BL252">
        <v>1</v>
      </c>
      <c r="BM252">
        <v>0</v>
      </c>
      <c r="BN252">
        <v>4</v>
      </c>
      <c r="BO252">
        <v>69</v>
      </c>
      <c r="BP252">
        <v>67</v>
      </c>
      <c r="BQ252">
        <v>1</v>
      </c>
      <c r="BR252">
        <v>1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69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9</v>
      </c>
      <c r="CZ252">
        <v>9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9</v>
      </c>
      <c r="DK252">
        <v>5</v>
      </c>
      <c r="DL252">
        <v>0</v>
      </c>
      <c r="DM252">
        <v>4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1</v>
      </c>
      <c r="DV252">
        <v>5</v>
      </c>
      <c r="DW252">
        <v>4</v>
      </c>
      <c r="DX252">
        <v>0</v>
      </c>
      <c r="DY252">
        <v>0</v>
      </c>
      <c r="DZ252">
        <v>0</v>
      </c>
      <c r="EA252">
        <v>1</v>
      </c>
      <c r="EB252">
        <v>0</v>
      </c>
      <c r="EC252">
        <v>2</v>
      </c>
      <c r="ED252">
        <v>0</v>
      </c>
      <c r="EE252">
        <v>1</v>
      </c>
      <c r="EF252">
        <v>0</v>
      </c>
      <c r="EG252">
        <v>0</v>
      </c>
      <c r="EH252">
        <v>4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</row>
    <row r="253" spans="1:172" ht="14.25">
      <c r="A253">
        <v>248</v>
      </c>
      <c r="B253" t="str">
        <f t="shared" si="46"/>
        <v>101506</v>
      </c>
      <c r="C253" t="str">
        <f t="shared" si="47"/>
        <v>Maków</v>
      </c>
      <c r="D253" t="str">
        <f t="shared" si="45"/>
        <v>Skierniewicki</v>
      </c>
      <c r="E253" t="str">
        <f t="shared" si="39"/>
        <v>łódzkie</v>
      </c>
      <c r="F253">
        <v>5</v>
      </c>
      <c r="G253" t="str">
        <f>"Szkoła Podstawowa, Pszczonów 53, 99-420 Łyszkowice"</f>
        <v>Szkoła Podstawowa, Pszczonów 53, 99-420 Łyszkowice</v>
      </c>
      <c r="H253">
        <v>565</v>
      </c>
      <c r="I253">
        <v>565</v>
      </c>
      <c r="J253">
        <v>0</v>
      </c>
      <c r="K253">
        <v>400</v>
      </c>
      <c r="L253">
        <v>327</v>
      </c>
      <c r="M253">
        <v>73</v>
      </c>
      <c r="N253">
        <v>73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73</v>
      </c>
      <c r="Z253">
        <v>0</v>
      </c>
      <c r="AA253">
        <v>0</v>
      </c>
      <c r="AB253">
        <v>73</v>
      </c>
      <c r="AC253">
        <v>3</v>
      </c>
      <c r="AD253">
        <v>70</v>
      </c>
      <c r="AE253">
        <v>1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1</v>
      </c>
      <c r="AP253">
        <v>1</v>
      </c>
      <c r="AQ253">
        <v>7</v>
      </c>
      <c r="AR253">
        <v>7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7</v>
      </c>
      <c r="BC253">
        <v>4</v>
      </c>
      <c r="BD253">
        <v>3</v>
      </c>
      <c r="BE253">
        <v>0</v>
      </c>
      <c r="BF253">
        <v>1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4</v>
      </c>
      <c r="BO253">
        <v>31</v>
      </c>
      <c r="BP253">
        <v>28</v>
      </c>
      <c r="BQ253">
        <v>2</v>
      </c>
      <c r="BR253">
        <v>0</v>
      </c>
      <c r="BS253">
        <v>0</v>
      </c>
      <c r="BT253">
        <v>0</v>
      </c>
      <c r="BU253">
        <v>1</v>
      </c>
      <c r="BV253">
        <v>0</v>
      </c>
      <c r="BW253">
        <v>0</v>
      </c>
      <c r="BX253">
        <v>0</v>
      </c>
      <c r="BY253">
        <v>0</v>
      </c>
      <c r="BZ253">
        <v>31</v>
      </c>
      <c r="CA253">
        <v>1</v>
      </c>
      <c r="CB253">
        <v>1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1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8</v>
      </c>
      <c r="CZ253">
        <v>5</v>
      </c>
      <c r="DA253">
        <v>1</v>
      </c>
      <c r="DB253">
        <v>1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1</v>
      </c>
      <c r="DJ253">
        <v>8</v>
      </c>
      <c r="DK253">
        <v>11</v>
      </c>
      <c r="DL253">
        <v>2</v>
      </c>
      <c r="DM253">
        <v>9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11</v>
      </c>
      <c r="DW253">
        <v>7</v>
      </c>
      <c r="DX253">
        <v>1</v>
      </c>
      <c r="DY253">
        <v>6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7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</row>
    <row r="254" spans="1:172" ht="14.25">
      <c r="A254">
        <v>249</v>
      </c>
      <c r="B254" t="str">
        <f t="shared" si="46"/>
        <v>101506</v>
      </c>
      <c r="C254" t="str">
        <f t="shared" si="47"/>
        <v>Maków</v>
      </c>
      <c r="D254" t="str">
        <f t="shared" si="45"/>
        <v>Skierniewicki</v>
      </c>
      <c r="E254" t="str">
        <f t="shared" si="39"/>
        <v>łódzkie</v>
      </c>
      <c r="F254">
        <v>6</v>
      </c>
      <c r="G254" t="str">
        <f>"Szkoła Podstawowa, Święte Laski 63, 96-124 Maków"</f>
        <v>Szkoła Podstawowa, Święte Laski 63, 96-124 Maków</v>
      </c>
      <c r="H254">
        <v>500</v>
      </c>
      <c r="I254">
        <v>500</v>
      </c>
      <c r="J254">
        <v>0</v>
      </c>
      <c r="K254">
        <v>350</v>
      </c>
      <c r="L254">
        <v>278</v>
      </c>
      <c r="M254">
        <v>72</v>
      </c>
      <c r="N254">
        <v>72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72</v>
      </c>
      <c r="Z254">
        <v>0</v>
      </c>
      <c r="AA254">
        <v>0</v>
      </c>
      <c r="AB254">
        <v>72</v>
      </c>
      <c r="AC254">
        <v>4</v>
      </c>
      <c r="AD254">
        <v>68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6</v>
      </c>
      <c r="AR254">
        <v>5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1</v>
      </c>
      <c r="BB254">
        <v>6</v>
      </c>
      <c r="BC254">
        <v>6</v>
      </c>
      <c r="BD254">
        <v>2</v>
      </c>
      <c r="BE254">
        <v>1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3</v>
      </c>
      <c r="BN254">
        <v>6</v>
      </c>
      <c r="BO254">
        <v>35</v>
      </c>
      <c r="BP254">
        <v>34</v>
      </c>
      <c r="BQ254">
        <v>0</v>
      </c>
      <c r="BR254">
        <v>0</v>
      </c>
      <c r="BS254">
        <v>0</v>
      </c>
      <c r="BT254">
        <v>1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35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4</v>
      </c>
      <c r="CN254">
        <v>3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1</v>
      </c>
      <c r="CX254">
        <v>4</v>
      </c>
      <c r="CY254">
        <v>2</v>
      </c>
      <c r="CZ254">
        <v>0</v>
      </c>
      <c r="DA254">
        <v>0</v>
      </c>
      <c r="DB254">
        <v>2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2</v>
      </c>
      <c r="DK254">
        <v>4</v>
      </c>
      <c r="DL254">
        <v>1</v>
      </c>
      <c r="DM254">
        <v>3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4</v>
      </c>
      <c r="DW254">
        <v>7</v>
      </c>
      <c r="DX254">
        <v>1</v>
      </c>
      <c r="DY254">
        <v>1</v>
      </c>
      <c r="DZ254">
        <v>0</v>
      </c>
      <c r="EA254">
        <v>0</v>
      </c>
      <c r="EB254">
        <v>0</v>
      </c>
      <c r="EC254">
        <v>2</v>
      </c>
      <c r="ED254">
        <v>0</v>
      </c>
      <c r="EE254">
        <v>2</v>
      </c>
      <c r="EF254">
        <v>0</v>
      </c>
      <c r="EG254">
        <v>1</v>
      </c>
      <c r="EH254">
        <v>7</v>
      </c>
      <c r="EI254">
        <v>4</v>
      </c>
      <c r="EJ254">
        <v>3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1</v>
      </c>
      <c r="EQ254">
        <v>0</v>
      </c>
      <c r="ER254">
        <v>4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</row>
    <row r="255" spans="1:172" ht="14.25">
      <c r="A255">
        <v>250</v>
      </c>
      <c r="B255" t="str">
        <f>"101507"</f>
        <v>101507</v>
      </c>
      <c r="C255" t="str">
        <f>"Nowy Kawęczyn"</f>
        <v>Nowy Kawęczyn</v>
      </c>
      <c r="D255" t="str">
        <f t="shared" si="45"/>
        <v>Skierniewicki</v>
      </c>
      <c r="E255" t="str">
        <f t="shared" si="39"/>
        <v>łódzkie</v>
      </c>
      <c r="F255">
        <v>1</v>
      </c>
      <c r="G255" t="str">
        <f>"Szkoła Podstawowa im . Jana Antoniego Grabowskiego, Nowy Dwór 60, 96-115 Nowy Kawęczyn"</f>
        <v>Szkoła Podstawowa im . Jana Antoniego Grabowskiego, Nowy Dwór 60, 96-115 Nowy Kawęczyn</v>
      </c>
      <c r="H255">
        <v>678</v>
      </c>
      <c r="I255">
        <v>678</v>
      </c>
      <c r="J255">
        <v>0</v>
      </c>
      <c r="K255">
        <v>470</v>
      </c>
      <c r="L255">
        <v>396</v>
      </c>
      <c r="M255">
        <v>74</v>
      </c>
      <c r="N255">
        <v>74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74</v>
      </c>
      <c r="Z255">
        <v>0</v>
      </c>
      <c r="AA255">
        <v>0</v>
      </c>
      <c r="AB255">
        <v>74</v>
      </c>
      <c r="AC255">
        <v>3</v>
      </c>
      <c r="AD255">
        <v>71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1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1</v>
      </c>
      <c r="BB255">
        <v>1</v>
      </c>
      <c r="BC255">
        <v>14</v>
      </c>
      <c r="BD255">
        <v>11</v>
      </c>
      <c r="BE255">
        <v>2</v>
      </c>
      <c r="BF255">
        <v>0</v>
      </c>
      <c r="BG255">
        <v>0</v>
      </c>
      <c r="BH255">
        <v>0</v>
      </c>
      <c r="BI255">
        <v>1</v>
      </c>
      <c r="BJ255">
        <v>0</v>
      </c>
      <c r="BK255">
        <v>0</v>
      </c>
      <c r="BL255">
        <v>0</v>
      </c>
      <c r="BM255">
        <v>0</v>
      </c>
      <c r="BN255">
        <v>14</v>
      </c>
      <c r="BO255">
        <v>26</v>
      </c>
      <c r="BP255">
        <v>22</v>
      </c>
      <c r="BQ255">
        <v>1</v>
      </c>
      <c r="BR255">
        <v>0</v>
      </c>
      <c r="BS255">
        <v>1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2</v>
      </c>
      <c r="BZ255">
        <v>26</v>
      </c>
      <c r="CA255">
        <v>1</v>
      </c>
      <c r="CB255">
        <v>0</v>
      </c>
      <c r="CC255">
        <v>0</v>
      </c>
      <c r="CD255">
        <v>1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1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3</v>
      </c>
      <c r="CZ255">
        <v>2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1</v>
      </c>
      <c r="DH255">
        <v>0</v>
      </c>
      <c r="DI255">
        <v>0</v>
      </c>
      <c r="DJ255">
        <v>3</v>
      </c>
      <c r="DK255">
        <v>9</v>
      </c>
      <c r="DL255">
        <v>7</v>
      </c>
      <c r="DM255">
        <v>0</v>
      </c>
      <c r="DN255">
        <v>1</v>
      </c>
      <c r="DO255">
        <v>0</v>
      </c>
      <c r="DP255">
        <v>0</v>
      </c>
      <c r="DQ255">
        <v>1</v>
      </c>
      <c r="DR255">
        <v>0</v>
      </c>
      <c r="DS255">
        <v>0</v>
      </c>
      <c r="DT255">
        <v>0</v>
      </c>
      <c r="DU255">
        <v>0</v>
      </c>
      <c r="DV255">
        <v>9</v>
      </c>
      <c r="DW255">
        <v>16</v>
      </c>
      <c r="DX255">
        <v>0</v>
      </c>
      <c r="DY255">
        <v>9</v>
      </c>
      <c r="DZ255">
        <v>1</v>
      </c>
      <c r="EA255">
        <v>1</v>
      </c>
      <c r="EB255">
        <v>0</v>
      </c>
      <c r="EC255">
        <v>4</v>
      </c>
      <c r="ED255">
        <v>0</v>
      </c>
      <c r="EE255">
        <v>0</v>
      </c>
      <c r="EF255">
        <v>0</v>
      </c>
      <c r="EG255">
        <v>1</v>
      </c>
      <c r="EH255">
        <v>16</v>
      </c>
      <c r="EI255">
        <v>1</v>
      </c>
      <c r="EJ255">
        <v>0</v>
      </c>
      <c r="EK255">
        <v>1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1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</row>
    <row r="256" spans="1:172" ht="14.25">
      <c r="A256">
        <v>251</v>
      </c>
      <c r="B256" t="str">
        <f>"101507"</f>
        <v>101507</v>
      </c>
      <c r="C256" t="str">
        <f>"Nowy Kawęczyn"</f>
        <v>Nowy Kawęczyn</v>
      </c>
      <c r="D256" t="str">
        <f t="shared" si="45"/>
        <v>Skierniewicki</v>
      </c>
      <c r="E256" t="str">
        <f t="shared" si="39"/>
        <v>łódzkie</v>
      </c>
      <c r="F256">
        <v>2</v>
      </c>
      <c r="G256" t="str">
        <f>"Gminna Biblioteka Publiczna, Nowy Kawęczyn 31A, 96-115 Nowy Kawęczyn"</f>
        <v>Gminna Biblioteka Publiczna, Nowy Kawęczyn 31A, 96-115 Nowy Kawęczyn</v>
      </c>
      <c r="H256">
        <v>809</v>
      </c>
      <c r="I256">
        <v>809</v>
      </c>
      <c r="J256">
        <v>0</v>
      </c>
      <c r="K256">
        <v>570</v>
      </c>
      <c r="L256">
        <v>465</v>
      </c>
      <c r="M256">
        <v>105</v>
      </c>
      <c r="N256">
        <v>105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105</v>
      </c>
      <c r="Z256">
        <v>0</v>
      </c>
      <c r="AA256">
        <v>0</v>
      </c>
      <c r="AB256">
        <v>105</v>
      </c>
      <c r="AC256">
        <v>2</v>
      </c>
      <c r="AD256">
        <v>103</v>
      </c>
      <c r="AE256">
        <v>5</v>
      </c>
      <c r="AF256">
        <v>3</v>
      </c>
      <c r="AG256">
        <v>0</v>
      </c>
      <c r="AH256">
        <v>1</v>
      </c>
      <c r="AI256">
        <v>0</v>
      </c>
      <c r="AJ256">
        <v>0</v>
      </c>
      <c r="AK256">
        <v>1</v>
      </c>
      <c r="AL256">
        <v>0</v>
      </c>
      <c r="AM256">
        <v>0</v>
      </c>
      <c r="AN256">
        <v>0</v>
      </c>
      <c r="AO256">
        <v>0</v>
      </c>
      <c r="AP256">
        <v>5</v>
      </c>
      <c r="AQ256">
        <v>1</v>
      </c>
      <c r="AR256">
        <v>1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1</v>
      </c>
      <c r="BC256">
        <v>8</v>
      </c>
      <c r="BD256">
        <v>4</v>
      </c>
      <c r="BE256">
        <v>1</v>
      </c>
      <c r="BF256">
        <v>0</v>
      </c>
      <c r="BG256">
        <v>0</v>
      </c>
      <c r="BH256">
        <v>2</v>
      </c>
      <c r="BI256">
        <v>1</v>
      </c>
      <c r="BJ256">
        <v>0</v>
      </c>
      <c r="BK256">
        <v>0</v>
      </c>
      <c r="BL256">
        <v>0</v>
      </c>
      <c r="BM256">
        <v>0</v>
      </c>
      <c r="BN256">
        <v>8</v>
      </c>
      <c r="BO256">
        <v>42</v>
      </c>
      <c r="BP256">
        <v>36</v>
      </c>
      <c r="BQ256">
        <v>3</v>
      </c>
      <c r="BR256">
        <v>1</v>
      </c>
      <c r="BS256">
        <v>0</v>
      </c>
      <c r="BT256">
        <v>0</v>
      </c>
      <c r="BU256">
        <v>0</v>
      </c>
      <c r="BV256">
        <v>0</v>
      </c>
      <c r="BW256">
        <v>1</v>
      </c>
      <c r="BX256">
        <v>0</v>
      </c>
      <c r="BY256">
        <v>1</v>
      </c>
      <c r="BZ256">
        <v>42</v>
      </c>
      <c r="CA256">
        <v>1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1</v>
      </c>
      <c r="CK256">
        <v>0</v>
      </c>
      <c r="CL256">
        <v>1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15</v>
      </c>
      <c r="CZ256">
        <v>7</v>
      </c>
      <c r="DA256">
        <v>1</v>
      </c>
      <c r="DB256">
        <v>5</v>
      </c>
      <c r="DC256">
        <v>0</v>
      </c>
      <c r="DD256">
        <v>0</v>
      </c>
      <c r="DE256">
        <v>0</v>
      </c>
      <c r="DF256">
        <v>1</v>
      </c>
      <c r="DG256">
        <v>0</v>
      </c>
      <c r="DH256">
        <v>1</v>
      </c>
      <c r="DI256">
        <v>0</v>
      </c>
      <c r="DJ256">
        <v>15</v>
      </c>
      <c r="DK256">
        <v>8</v>
      </c>
      <c r="DL256">
        <v>8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8</v>
      </c>
      <c r="DW256">
        <v>23</v>
      </c>
      <c r="DX256">
        <v>1</v>
      </c>
      <c r="DY256">
        <v>13</v>
      </c>
      <c r="DZ256">
        <v>0</v>
      </c>
      <c r="EA256">
        <v>1</v>
      </c>
      <c r="EB256">
        <v>0</v>
      </c>
      <c r="EC256">
        <v>7</v>
      </c>
      <c r="ED256">
        <v>0</v>
      </c>
      <c r="EE256">
        <v>0</v>
      </c>
      <c r="EF256">
        <v>0</v>
      </c>
      <c r="EG256">
        <v>1</v>
      </c>
      <c r="EH256">
        <v>23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</row>
    <row r="257" spans="1:172" ht="14.25">
      <c r="A257">
        <v>252</v>
      </c>
      <c r="B257" t="str">
        <f>"101507"</f>
        <v>101507</v>
      </c>
      <c r="C257" t="str">
        <f>"Nowy Kawęczyn"</f>
        <v>Nowy Kawęczyn</v>
      </c>
      <c r="D257" t="str">
        <f t="shared" si="45"/>
        <v>Skierniewicki</v>
      </c>
      <c r="E257" t="str">
        <f t="shared" si="39"/>
        <v>łódzkie</v>
      </c>
      <c r="F257">
        <v>3</v>
      </c>
      <c r="G257" t="str">
        <f>"Gimnazjum im. Józefa Wybickiego, Strzyboga 29, 96-115 Nowy Kawęczyn"</f>
        <v>Gimnazjum im. Józefa Wybickiego, Strzyboga 29, 96-115 Nowy Kawęczyn</v>
      </c>
      <c r="H257">
        <v>730</v>
      </c>
      <c r="I257">
        <v>730</v>
      </c>
      <c r="J257">
        <v>0</v>
      </c>
      <c r="K257">
        <v>510</v>
      </c>
      <c r="L257">
        <v>365</v>
      </c>
      <c r="M257">
        <v>145</v>
      </c>
      <c r="N257">
        <v>145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145</v>
      </c>
      <c r="Z257">
        <v>0</v>
      </c>
      <c r="AA257">
        <v>0</v>
      </c>
      <c r="AB257">
        <v>145</v>
      </c>
      <c r="AC257">
        <v>9</v>
      </c>
      <c r="AD257">
        <v>136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5</v>
      </c>
      <c r="BD257">
        <v>2</v>
      </c>
      <c r="BE257">
        <v>3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5</v>
      </c>
      <c r="BO257">
        <v>57</v>
      </c>
      <c r="BP257">
        <v>50</v>
      </c>
      <c r="BQ257">
        <v>2</v>
      </c>
      <c r="BR257">
        <v>1</v>
      </c>
      <c r="BS257">
        <v>1</v>
      </c>
      <c r="BT257">
        <v>1</v>
      </c>
      <c r="BU257">
        <v>0</v>
      </c>
      <c r="BV257">
        <v>0</v>
      </c>
      <c r="BW257">
        <v>1</v>
      </c>
      <c r="BX257">
        <v>0</v>
      </c>
      <c r="BY257">
        <v>1</v>
      </c>
      <c r="BZ257">
        <v>57</v>
      </c>
      <c r="CA257">
        <v>4</v>
      </c>
      <c r="CB257">
        <v>1</v>
      </c>
      <c r="CC257">
        <v>1</v>
      </c>
      <c r="CD257">
        <v>2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4</v>
      </c>
      <c r="CM257">
        <v>3</v>
      </c>
      <c r="CN257">
        <v>1</v>
      </c>
      <c r="CO257">
        <v>0</v>
      </c>
      <c r="CP257">
        <v>0</v>
      </c>
      <c r="CQ257">
        <v>1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1</v>
      </c>
      <c r="CX257">
        <v>3</v>
      </c>
      <c r="CY257">
        <v>20</v>
      </c>
      <c r="CZ257">
        <v>10</v>
      </c>
      <c r="DA257">
        <v>2</v>
      </c>
      <c r="DB257">
        <v>5</v>
      </c>
      <c r="DC257">
        <v>1</v>
      </c>
      <c r="DD257">
        <v>1</v>
      </c>
      <c r="DE257">
        <v>0</v>
      </c>
      <c r="DF257">
        <v>0</v>
      </c>
      <c r="DG257">
        <v>0</v>
      </c>
      <c r="DH257">
        <v>1</v>
      </c>
      <c r="DI257">
        <v>0</v>
      </c>
      <c r="DJ257">
        <v>20</v>
      </c>
      <c r="DK257">
        <v>14</v>
      </c>
      <c r="DL257">
        <v>9</v>
      </c>
      <c r="DM257">
        <v>2</v>
      </c>
      <c r="DN257">
        <v>1</v>
      </c>
      <c r="DO257">
        <v>0</v>
      </c>
      <c r="DP257">
        <v>1</v>
      </c>
      <c r="DQ257">
        <v>0</v>
      </c>
      <c r="DR257">
        <v>0</v>
      </c>
      <c r="DS257">
        <v>1</v>
      </c>
      <c r="DT257">
        <v>0</v>
      </c>
      <c r="DU257">
        <v>0</v>
      </c>
      <c r="DV257">
        <v>14</v>
      </c>
      <c r="DW257">
        <v>30</v>
      </c>
      <c r="DX257">
        <v>0</v>
      </c>
      <c r="DY257">
        <v>27</v>
      </c>
      <c r="DZ257">
        <v>0</v>
      </c>
      <c r="EA257">
        <v>0</v>
      </c>
      <c r="EB257">
        <v>0</v>
      </c>
      <c r="EC257">
        <v>2</v>
      </c>
      <c r="ED257">
        <v>0</v>
      </c>
      <c r="EE257">
        <v>0</v>
      </c>
      <c r="EF257">
        <v>0</v>
      </c>
      <c r="EG257">
        <v>1</v>
      </c>
      <c r="EH257">
        <v>30</v>
      </c>
      <c r="EI257">
        <v>1</v>
      </c>
      <c r="EJ257">
        <v>0</v>
      </c>
      <c r="EK257">
        <v>0</v>
      </c>
      <c r="EL257">
        <v>0</v>
      </c>
      <c r="EM257">
        <v>1</v>
      </c>
      <c r="EN257">
        <v>0</v>
      </c>
      <c r="EO257">
        <v>0</v>
      </c>
      <c r="EP257">
        <v>0</v>
      </c>
      <c r="EQ257">
        <v>0</v>
      </c>
      <c r="ER257">
        <v>1</v>
      </c>
      <c r="ES257">
        <v>1</v>
      </c>
      <c r="ET257">
        <v>0</v>
      </c>
      <c r="EU257">
        <v>0</v>
      </c>
      <c r="EV257">
        <v>0</v>
      </c>
      <c r="EW257">
        <v>1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1</v>
      </c>
      <c r="FE257">
        <v>1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1</v>
      </c>
      <c r="FM257">
        <v>0</v>
      </c>
      <c r="FN257">
        <v>0</v>
      </c>
      <c r="FO257">
        <v>0</v>
      </c>
      <c r="FP257">
        <v>1</v>
      </c>
    </row>
    <row r="258" spans="1:172" ht="14.25">
      <c r="A258">
        <v>253</v>
      </c>
      <c r="B258" t="str">
        <f>"101507"</f>
        <v>101507</v>
      </c>
      <c r="C258" t="str">
        <f>"Nowy Kawęczyn"</f>
        <v>Nowy Kawęczyn</v>
      </c>
      <c r="D258" t="str">
        <f t="shared" si="45"/>
        <v>Skierniewicki</v>
      </c>
      <c r="E258" t="str">
        <f t="shared" si="39"/>
        <v>łódzkie</v>
      </c>
      <c r="F258">
        <v>4</v>
      </c>
      <c r="G258" t="str">
        <f>"Szkoła Podstawowa im. Armii Krajowej, Trzcianna 14, 96-115 Nowy Kawęczyn"</f>
        <v>Szkoła Podstawowa im. Armii Krajowej, Trzcianna 14, 96-115 Nowy Kawęczyn</v>
      </c>
      <c r="H258">
        <v>508</v>
      </c>
      <c r="I258">
        <v>508</v>
      </c>
      <c r="J258">
        <v>0</v>
      </c>
      <c r="K258">
        <v>350</v>
      </c>
      <c r="L258">
        <v>244</v>
      </c>
      <c r="M258">
        <v>106</v>
      </c>
      <c r="N258">
        <v>106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106</v>
      </c>
      <c r="Z258">
        <v>0</v>
      </c>
      <c r="AA258">
        <v>0</v>
      </c>
      <c r="AB258">
        <v>106</v>
      </c>
      <c r="AC258">
        <v>9</v>
      </c>
      <c r="AD258">
        <v>97</v>
      </c>
      <c r="AE258">
        <v>1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1</v>
      </c>
      <c r="AN258">
        <v>0</v>
      </c>
      <c r="AO258">
        <v>0</v>
      </c>
      <c r="AP258">
        <v>1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10</v>
      </c>
      <c r="BD258">
        <v>7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2</v>
      </c>
      <c r="BM258">
        <v>1</v>
      </c>
      <c r="BN258">
        <v>10</v>
      </c>
      <c r="BO258">
        <v>47</v>
      </c>
      <c r="BP258">
        <v>39</v>
      </c>
      <c r="BQ258">
        <v>4</v>
      </c>
      <c r="BR258">
        <v>0</v>
      </c>
      <c r="BS258">
        <v>0</v>
      </c>
      <c r="BT258">
        <v>2</v>
      </c>
      <c r="BU258">
        <v>0</v>
      </c>
      <c r="BV258">
        <v>1</v>
      </c>
      <c r="BW258">
        <v>1</v>
      </c>
      <c r="BX258">
        <v>0</v>
      </c>
      <c r="BY258">
        <v>0</v>
      </c>
      <c r="BZ258">
        <v>47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2</v>
      </c>
      <c r="CN258">
        <v>0</v>
      </c>
      <c r="CO258">
        <v>0</v>
      </c>
      <c r="CP258">
        <v>0</v>
      </c>
      <c r="CQ258">
        <v>1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1</v>
      </c>
      <c r="CX258">
        <v>2</v>
      </c>
      <c r="CY258">
        <v>4</v>
      </c>
      <c r="CZ258">
        <v>1</v>
      </c>
      <c r="DA258">
        <v>0</v>
      </c>
      <c r="DB258">
        <v>3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4</v>
      </c>
      <c r="DK258">
        <v>10</v>
      </c>
      <c r="DL258">
        <v>6</v>
      </c>
      <c r="DM258">
        <v>3</v>
      </c>
      <c r="DN258">
        <v>0</v>
      </c>
      <c r="DO258">
        <v>0</v>
      </c>
      <c r="DP258">
        <v>1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10</v>
      </c>
      <c r="DW258">
        <v>18</v>
      </c>
      <c r="DX258">
        <v>2</v>
      </c>
      <c r="DY258">
        <v>15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1</v>
      </c>
      <c r="EH258">
        <v>18</v>
      </c>
      <c r="EI258">
        <v>4</v>
      </c>
      <c r="EJ258">
        <v>3</v>
      </c>
      <c r="EK258">
        <v>1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4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1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1</v>
      </c>
      <c r="FL258">
        <v>0</v>
      </c>
      <c r="FM258">
        <v>0</v>
      </c>
      <c r="FN258">
        <v>0</v>
      </c>
      <c r="FO258">
        <v>0</v>
      </c>
      <c r="FP258">
        <v>1</v>
      </c>
    </row>
    <row r="259" spans="1:172" ht="14.25">
      <c r="A259">
        <v>254</v>
      </c>
      <c r="B259" t="str">
        <f aca="true" t="shared" si="48" ref="B259:B266">"101508"</f>
        <v>101508</v>
      </c>
      <c r="C259" t="str">
        <f aca="true" t="shared" si="49" ref="C259:C266">"Skierniewice"</f>
        <v>Skierniewice</v>
      </c>
      <c r="D259" t="str">
        <f t="shared" si="45"/>
        <v>Skierniewicki</v>
      </c>
      <c r="E259" t="str">
        <f t="shared" si="39"/>
        <v>łódzkie</v>
      </c>
      <c r="F259">
        <v>1</v>
      </c>
      <c r="G259" t="str">
        <f>"Szkoła Podstawowa, Dębowa Góra 42A, 96-116 Dębowa Góra"</f>
        <v>Szkoła Podstawowa, Dębowa Góra 42A, 96-116 Dębowa Góra</v>
      </c>
      <c r="H259">
        <v>774</v>
      </c>
      <c r="I259">
        <v>774</v>
      </c>
      <c r="J259">
        <v>0</v>
      </c>
      <c r="K259">
        <v>540</v>
      </c>
      <c r="L259">
        <v>416</v>
      </c>
      <c r="M259">
        <v>124</v>
      </c>
      <c r="N259">
        <v>124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124</v>
      </c>
      <c r="Z259">
        <v>0</v>
      </c>
      <c r="AA259">
        <v>0</v>
      </c>
      <c r="AB259">
        <v>124</v>
      </c>
      <c r="AC259">
        <v>2</v>
      </c>
      <c r="AD259">
        <v>122</v>
      </c>
      <c r="AE259">
        <v>6</v>
      </c>
      <c r="AF259">
        <v>4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1</v>
      </c>
      <c r="AM259">
        <v>1</v>
      </c>
      <c r="AN259">
        <v>0</v>
      </c>
      <c r="AO259">
        <v>0</v>
      </c>
      <c r="AP259">
        <v>6</v>
      </c>
      <c r="AQ259">
        <v>1</v>
      </c>
      <c r="AR259">
        <v>1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1</v>
      </c>
      <c r="BC259">
        <v>8</v>
      </c>
      <c r="BD259">
        <v>5</v>
      </c>
      <c r="BE259">
        <v>2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1</v>
      </c>
      <c r="BN259">
        <v>8</v>
      </c>
      <c r="BO259">
        <v>68</v>
      </c>
      <c r="BP259">
        <v>58</v>
      </c>
      <c r="BQ259">
        <v>3</v>
      </c>
      <c r="BR259">
        <v>1</v>
      </c>
      <c r="BS259">
        <v>1</v>
      </c>
      <c r="BT259">
        <v>0</v>
      </c>
      <c r="BU259">
        <v>0</v>
      </c>
      <c r="BV259">
        <v>0</v>
      </c>
      <c r="BW259">
        <v>1</v>
      </c>
      <c r="BX259">
        <v>1</v>
      </c>
      <c r="BY259">
        <v>3</v>
      </c>
      <c r="BZ259">
        <v>68</v>
      </c>
      <c r="CA259">
        <v>2</v>
      </c>
      <c r="CB259">
        <v>1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1</v>
      </c>
      <c r="CK259">
        <v>0</v>
      </c>
      <c r="CL259">
        <v>2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5</v>
      </c>
      <c r="CZ259">
        <v>3</v>
      </c>
      <c r="DA259">
        <v>1</v>
      </c>
      <c r="DB259">
        <v>1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5</v>
      </c>
      <c r="DK259">
        <v>20</v>
      </c>
      <c r="DL259">
        <v>14</v>
      </c>
      <c r="DM259">
        <v>5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1</v>
      </c>
      <c r="DV259">
        <v>20</v>
      </c>
      <c r="DW259">
        <v>11</v>
      </c>
      <c r="DX259">
        <v>4</v>
      </c>
      <c r="DY259">
        <v>5</v>
      </c>
      <c r="DZ259">
        <v>0</v>
      </c>
      <c r="EA259">
        <v>0</v>
      </c>
      <c r="EB259">
        <v>0</v>
      </c>
      <c r="EC259">
        <v>2</v>
      </c>
      <c r="ED259">
        <v>0</v>
      </c>
      <c r="EE259">
        <v>0</v>
      </c>
      <c r="EF259">
        <v>0</v>
      </c>
      <c r="EG259">
        <v>0</v>
      </c>
      <c r="EH259">
        <v>11</v>
      </c>
      <c r="EI259">
        <v>1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1</v>
      </c>
      <c r="EP259">
        <v>0</v>
      </c>
      <c r="EQ259">
        <v>0</v>
      </c>
      <c r="ER259">
        <v>1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</row>
    <row r="260" spans="1:172" ht="14.25">
      <c r="A260">
        <v>255</v>
      </c>
      <c r="B260" t="str">
        <f t="shared" si="48"/>
        <v>101508</v>
      </c>
      <c r="C260" t="str">
        <f t="shared" si="49"/>
        <v>Skierniewice</v>
      </c>
      <c r="D260" t="str">
        <f t="shared" si="45"/>
        <v>Skierniewicki</v>
      </c>
      <c r="E260" t="str">
        <f t="shared" si="39"/>
        <v>łódzkie</v>
      </c>
      <c r="F260">
        <v>2</v>
      </c>
      <c r="G260" t="str">
        <f>"Świetlica, Strobów 19, 96-100 Skierniewice"</f>
        <v>Świetlica, Strobów 19, 96-100 Skierniewice</v>
      </c>
      <c r="H260">
        <v>437</v>
      </c>
      <c r="I260">
        <v>437</v>
      </c>
      <c r="J260">
        <v>0</v>
      </c>
      <c r="K260">
        <v>300</v>
      </c>
      <c r="L260">
        <v>240</v>
      </c>
      <c r="M260">
        <v>60</v>
      </c>
      <c r="N260">
        <v>60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60</v>
      </c>
      <c r="Z260">
        <v>0</v>
      </c>
      <c r="AA260">
        <v>0</v>
      </c>
      <c r="AB260">
        <v>60</v>
      </c>
      <c r="AC260">
        <v>4</v>
      </c>
      <c r="AD260">
        <v>56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1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1</v>
      </c>
      <c r="BM260">
        <v>0</v>
      </c>
      <c r="BN260">
        <v>1</v>
      </c>
      <c r="BO260">
        <v>22</v>
      </c>
      <c r="BP260">
        <v>20</v>
      </c>
      <c r="BQ260">
        <v>0</v>
      </c>
      <c r="BR260">
        <v>1</v>
      </c>
      <c r="BS260">
        <v>1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22</v>
      </c>
      <c r="CA260">
        <v>4</v>
      </c>
      <c r="CB260">
        <v>2</v>
      </c>
      <c r="CC260">
        <v>1</v>
      </c>
      <c r="CD260">
        <v>0</v>
      </c>
      <c r="CE260">
        <v>1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4</v>
      </c>
      <c r="CM260">
        <v>1</v>
      </c>
      <c r="CN260">
        <v>1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1</v>
      </c>
      <c r="CY260">
        <v>6</v>
      </c>
      <c r="CZ260">
        <v>0</v>
      </c>
      <c r="DA260">
        <v>1</v>
      </c>
      <c r="DB260">
        <v>3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1</v>
      </c>
      <c r="DI260">
        <v>1</v>
      </c>
      <c r="DJ260">
        <v>6</v>
      </c>
      <c r="DK260">
        <v>13</v>
      </c>
      <c r="DL260">
        <v>9</v>
      </c>
      <c r="DM260">
        <v>2</v>
      </c>
      <c r="DN260">
        <v>0</v>
      </c>
      <c r="DO260">
        <v>2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13</v>
      </c>
      <c r="DW260">
        <v>8</v>
      </c>
      <c r="DX260">
        <v>0</v>
      </c>
      <c r="DY260">
        <v>8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8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1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1</v>
      </c>
      <c r="FC260">
        <v>0</v>
      </c>
      <c r="FD260">
        <v>1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</row>
    <row r="261" spans="1:172" ht="14.25">
      <c r="A261">
        <v>256</v>
      </c>
      <c r="B261" t="str">
        <f t="shared" si="48"/>
        <v>101508</v>
      </c>
      <c r="C261" t="str">
        <f t="shared" si="49"/>
        <v>Skierniewice</v>
      </c>
      <c r="D261" t="str">
        <f t="shared" si="45"/>
        <v>Skierniewicki</v>
      </c>
      <c r="E261" t="str">
        <f t="shared" si="39"/>
        <v>łódzkie</v>
      </c>
      <c r="F261">
        <v>3</v>
      </c>
      <c r="G261" t="str">
        <f>"Szkoła Podstawowa, Miedniewice 88, 96-100 Skierniewice"</f>
        <v>Szkoła Podstawowa, Miedniewice 88, 96-100 Skierniewice</v>
      </c>
      <c r="H261">
        <v>1313</v>
      </c>
      <c r="I261">
        <v>1313</v>
      </c>
      <c r="J261">
        <v>0</v>
      </c>
      <c r="K261">
        <v>917</v>
      </c>
      <c r="L261">
        <v>709</v>
      </c>
      <c r="M261">
        <v>208</v>
      </c>
      <c r="N261">
        <v>208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208</v>
      </c>
      <c r="Z261">
        <v>0</v>
      </c>
      <c r="AA261">
        <v>0</v>
      </c>
      <c r="AB261">
        <v>208</v>
      </c>
      <c r="AC261">
        <v>6</v>
      </c>
      <c r="AD261">
        <v>202</v>
      </c>
      <c r="AE261">
        <v>3</v>
      </c>
      <c r="AF261">
        <v>1</v>
      </c>
      <c r="AG261">
        <v>0</v>
      </c>
      <c r="AH261">
        <v>0</v>
      </c>
      <c r="AI261">
        <v>0</v>
      </c>
      <c r="AJ261">
        <v>2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3</v>
      </c>
      <c r="AQ261">
        <v>2</v>
      </c>
      <c r="AR261">
        <v>1</v>
      </c>
      <c r="AS261">
        <v>0</v>
      </c>
      <c r="AT261">
        <v>1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2</v>
      </c>
      <c r="BC261">
        <v>5</v>
      </c>
      <c r="BD261">
        <v>2</v>
      </c>
      <c r="BE261">
        <v>2</v>
      </c>
      <c r="BF261">
        <v>0</v>
      </c>
      <c r="BG261">
        <v>1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5</v>
      </c>
      <c r="BO261">
        <v>90</v>
      </c>
      <c r="BP261">
        <v>72</v>
      </c>
      <c r="BQ261">
        <v>5</v>
      </c>
      <c r="BR261">
        <v>6</v>
      </c>
      <c r="BS261">
        <v>1</v>
      </c>
      <c r="BT261">
        <v>0</v>
      </c>
      <c r="BU261">
        <v>1</v>
      </c>
      <c r="BV261">
        <v>0</v>
      </c>
      <c r="BW261">
        <v>0</v>
      </c>
      <c r="BX261">
        <v>4</v>
      </c>
      <c r="BY261">
        <v>1</v>
      </c>
      <c r="BZ261">
        <v>90</v>
      </c>
      <c r="CA261">
        <v>5</v>
      </c>
      <c r="CB261">
        <v>1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4</v>
      </c>
      <c r="CK261">
        <v>0</v>
      </c>
      <c r="CL261">
        <v>5</v>
      </c>
      <c r="CM261">
        <v>5</v>
      </c>
      <c r="CN261">
        <v>4</v>
      </c>
      <c r="CO261">
        <v>0</v>
      </c>
      <c r="CP261">
        <v>0</v>
      </c>
      <c r="CQ261">
        <v>1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5</v>
      </c>
      <c r="CY261">
        <v>28</v>
      </c>
      <c r="CZ261">
        <v>21</v>
      </c>
      <c r="DA261">
        <v>1</v>
      </c>
      <c r="DB261">
        <v>0</v>
      </c>
      <c r="DC261">
        <v>2</v>
      </c>
      <c r="DD261">
        <v>1</v>
      </c>
      <c r="DE261">
        <v>0</v>
      </c>
      <c r="DF261">
        <v>0</v>
      </c>
      <c r="DG261">
        <v>1</v>
      </c>
      <c r="DH261">
        <v>2</v>
      </c>
      <c r="DI261">
        <v>0</v>
      </c>
      <c r="DJ261">
        <v>28</v>
      </c>
      <c r="DK261">
        <v>22</v>
      </c>
      <c r="DL261">
        <v>12</v>
      </c>
      <c r="DM261">
        <v>5</v>
      </c>
      <c r="DN261">
        <v>1</v>
      </c>
      <c r="DO261">
        <v>1</v>
      </c>
      <c r="DP261">
        <v>1</v>
      </c>
      <c r="DQ261">
        <v>0</v>
      </c>
      <c r="DR261">
        <v>2</v>
      </c>
      <c r="DS261">
        <v>0</v>
      </c>
      <c r="DT261">
        <v>0</v>
      </c>
      <c r="DU261">
        <v>0</v>
      </c>
      <c r="DV261">
        <v>22</v>
      </c>
      <c r="DW261">
        <v>39</v>
      </c>
      <c r="DX261">
        <v>0</v>
      </c>
      <c r="DY261">
        <v>34</v>
      </c>
      <c r="DZ261">
        <v>0</v>
      </c>
      <c r="EA261">
        <v>3</v>
      </c>
      <c r="EB261">
        <v>1</v>
      </c>
      <c r="EC261">
        <v>1</v>
      </c>
      <c r="ED261">
        <v>0</v>
      </c>
      <c r="EE261">
        <v>0</v>
      </c>
      <c r="EF261">
        <v>0</v>
      </c>
      <c r="EG261">
        <v>0</v>
      </c>
      <c r="EH261">
        <v>39</v>
      </c>
      <c r="EI261">
        <v>3</v>
      </c>
      <c r="EJ261">
        <v>2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1</v>
      </c>
      <c r="ER261">
        <v>3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</row>
    <row r="262" spans="1:172" ht="14.25">
      <c r="A262">
        <v>257</v>
      </c>
      <c r="B262" t="str">
        <f t="shared" si="48"/>
        <v>101508</v>
      </c>
      <c r="C262" t="str">
        <f t="shared" si="49"/>
        <v>Skierniewice</v>
      </c>
      <c r="D262" t="str">
        <f t="shared" si="45"/>
        <v>Skierniewicki</v>
      </c>
      <c r="E262" t="str">
        <f aca="true" t="shared" si="50" ref="E262:E294">"łódzkie"</f>
        <v>łódzkie</v>
      </c>
      <c r="F262">
        <v>4</v>
      </c>
      <c r="G262" t="str">
        <f>"Szkoła Podstawowa, Mokra Prawa 82A, 96-100 Skierniewice"</f>
        <v>Szkoła Podstawowa, Mokra Prawa 82A, 96-100 Skierniewice</v>
      </c>
      <c r="H262">
        <v>788</v>
      </c>
      <c r="I262">
        <v>788</v>
      </c>
      <c r="J262">
        <v>0</v>
      </c>
      <c r="K262">
        <v>550</v>
      </c>
      <c r="L262">
        <v>420</v>
      </c>
      <c r="M262">
        <v>130</v>
      </c>
      <c r="N262">
        <v>130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130</v>
      </c>
      <c r="Z262">
        <v>0</v>
      </c>
      <c r="AA262">
        <v>0</v>
      </c>
      <c r="AB262">
        <v>130</v>
      </c>
      <c r="AC262">
        <v>4</v>
      </c>
      <c r="AD262">
        <v>126</v>
      </c>
      <c r="AE262">
        <v>2</v>
      </c>
      <c r="AF262">
        <v>1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1</v>
      </c>
      <c r="AO262">
        <v>0</v>
      </c>
      <c r="AP262">
        <v>2</v>
      </c>
      <c r="AQ262">
        <v>2</v>
      </c>
      <c r="AR262">
        <v>1</v>
      </c>
      <c r="AS262">
        <v>1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2</v>
      </c>
      <c r="BC262">
        <v>3</v>
      </c>
      <c r="BD262">
        <v>1</v>
      </c>
      <c r="BE262">
        <v>1</v>
      </c>
      <c r="BF262">
        <v>0</v>
      </c>
      <c r="BG262">
        <v>1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3</v>
      </c>
      <c r="BO262">
        <v>75</v>
      </c>
      <c r="BP262">
        <v>64</v>
      </c>
      <c r="BQ262">
        <v>1</v>
      </c>
      <c r="BR262">
        <v>0</v>
      </c>
      <c r="BS262">
        <v>0</v>
      </c>
      <c r="BT262">
        <v>0</v>
      </c>
      <c r="BU262">
        <v>7</v>
      </c>
      <c r="BV262">
        <v>0</v>
      </c>
      <c r="BW262">
        <v>1</v>
      </c>
      <c r="BX262">
        <v>1</v>
      </c>
      <c r="BY262">
        <v>1</v>
      </c>
      <c r="BZ262">
        <v>75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6</v>
      </c>
      <c r="CN262">
        <v>5</v>
      </c>
      <c r="CO262">
        <v>0</v>
      </c>
      <c r="CP262">
        <v>0</v>
      </c>
      <c r="CQ262">
        <v>1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6</v>
      </c>
      <c r="CY262">
        <v>8</v>
      </c>
      <c r="CZ262">
        <v>3</v>
      </c>
      <c r="DA262">
        <v>0</v>
      </c>
      <c r="DB262">
        <v>4</v>
      </c>
      <c r="DC262">
        <v>0</v>
      </c>
      <c r="DD262">
        <v>0</v>
      </c>
      <c r="DE262">
        <v>0</v>
      </c>
      <c r="DF262">
        <v>0</v>
      </c>
      <c r="DG262">
        <v>1</v>
      </c>
      <c r="DH262">
        <v>0</v>
      </c>
      <c r="DI262">
        <v>0</v>
      </c>
      <c r="DJ262">
        <v>8</v>
      </c>
      <c r="DK262">
        <v>15</v>
      </c>
      <c r="DL262">
        <v>11</v>
      </c>
      <c r="DM262">
        <v>3</v>
      </c>
      <c r="DN262">
        <v>0</v>
      </c>
      <c r="DO262">
        <v>0</v>
      </c>
      <c r="DP262">
        <v>1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15</v>
      </c>
      <c r="DW262">
        <v>14</v>
      </c>
      <c r="DX262">
        <v>0</v>
      </c>
      <c r="DY262">
        <v>10</v>
      </c>
      <c r="DZ262">
        <v>0</v>
      </c>
      <c r="EA262">
        <v>0</v>
      </c>
      <c r="EB262">
        <v>0</v>
      </c>
      <c r="EC262">
        <v>4</v>
      </c>
      <c r="ED262">
        <v>0</v>
      </c>
      <c r="EE262">
        <v>0</v>
      </c>
      <c r="EF262">
        <v>0</v>
      </c>
      <c r="EG262">
        <v>0</v>
      </c>
      <c r="EH262">
        <v>14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1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1</v>
      </c>
      <c r="FP262">
        <v>1</v>
      </c>
    </row>
    <row r="263" spans="1:172" ht="14.25">
      <c r="A263">
        <v>258</v>
      </c>
      <c r="B263" t="str">
        <f t="shared" si="48"/>
        <v>101508</v>
      </c>
      <c r="C263" t="str">
        <f t="shared" si="49"/>
        <v>Skierniewice</v>
      </c>
      <c r="D263" t="str">
        <f t="shared" si="45"/>
        <v>Skierniewicki</v>
      </c>
      <c r="E263" t="str">
        <f t="shared" si="50"/>
        <v>łódzkie</v>
      </c>
      <c r="F263">
        <v>5</v>
      </c>
      <c r="G263" t="str">
        <f>"Szkoła Podstawowa, Sierakowice Prawe 69A, 96-100 Skierniewice"</f>
        <v>Szkoła Podstawowa, Sierakowice Prawe 69A, 96-100 Skierniewice</v>
      </c>
      <c r="H263">
        <v>609</v>
      </c>
      <c r="I263">
        <v>609</v>
      </c>
      <c r="J263">
        <v>0</v>
      </c>
      <c r="K263">
        <v>430</v>
      </c>
      <c r="L263">
        <v>338</v>
      </c>
      <c r="M263">
        <v>92</v>
      </c>
      <c r="N263">
        <v>92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92</v>
      </c>
      <c r="Z263">
        <v>0</v>
      </c>
      <c r="AA263">
        <v>0</v>
      </c>
      <c r="AB263">
        <v>92</v>
      </c>
      <c r="AC263">
        <v>4</v>
      </c>
      <c r="AD263">
        <v>88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1</v>
      </c>
      <c r="AR263">
        <v>1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1</v>
      </c>
      <c r="BC263">
        <v>1</v>
      </c>
      <c r="BD263">
        <v>1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1</v>
      </c>
      <c r="BO263">
        <v>48</v>
      </c>
      <c r="BP263">
        <v>44</v>
      </c>
      <c r="BQ263">
        <v>1</v>
      </c>
      <c r="BR263">
        <v>3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48</v>
      </c>
      <c r="CA263">
        <v>2</v>
      </c>
      <c r="CB263">
        <v>1</v>
      </c>
      <c r="CC263">
        <v>0</v>
      </c>
      <c r="CD263">
        <v>0</v>
      </c>
      <c r="CE263">
        <v>0</v>
      </c>
      <c r="CF263">
        <v>0</v>
      </c>
      <c r="CG263">
        <v>1</v>
      </c>
      <c r="CH263">
        <v>0</v>
      </c>
      <c r="CI263">
        <v>0</v>
      </c>
      <c r="CJ263">
        <v>0</v>
      </c>
      <c r="CK263">
        <v>0</v>
      </c>
      <c r="CL263">
        <v>2</v>
      </c>
      <c r="CM263">
        <v>1</v>
      </c>
      <c r="CN263">
        <v>0</v>
      </c>
      <c r="CO263">
        <v>1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1</v>
      </c>
      <c r="CY263">
        <v>10</v>
      </c>
      <c r="CZ263">
        <v>6</v>
      </c>
      <c r="DA263">
        <v>0</v>
      </c>
      <c r="DB263">
        <v>1</v>
      </c>
      <c r="DC263">
        <v>1</v>
      </c>
      <c r="DD263">
        <v>1</v>
      </c>
      <c r="DE263">
        <v>1</v>
      </c>
      <c r="DF263">
        <v>0</v>
      </c>
      <c r="DG263">
        <v>0</v>
      </c>
      <c r="DH263">
        <v>0</v>
      </c>
      <c r="DI263">
        <v>0</v>
      </c>
      <c r="DJ263">
        <v>10</v>
      </c>
      <c r="DK263">
        <v>13</v>
      </c>
      <c r="DL263">
        <v>9</v>
      </c>
      <c r="DM263">
        <v>1</v>
      </c>
      <c r="DN263">
        <v>0</v>
      </c>
      <c r="DO263">
        <v>0</v>
      </c>
      <c r="DP263">
        <v>1</v>
      </c>
      <c r="DQ263">
        <v>0</v>
      </c>
      <c r="DR263">
        <v>0</v>
      </c>
      <c r="DS263">
        <v>0</v>
      </c>
      <c r="DT263">
        <v>0</v>
      </c>
      <c r="DU263">
        <v>2</v>
      </c>
      <c r="DV263">
        <v>13</v>
      </c>
      <c r="DW263">
        <v>8</v>
      </c>
      <c r="DX263">
        <v>0</v>
      </c>
      <c r="DY263">
        <v>7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1</v>
      </c>
      <c r="EH263">
        <v>8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1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1</v>
      </c>
      <c r="FC263">
        <v>0</v>
      </c>
      <c r="FD263">
        <v>1</v>
      </c>
      <c r="FE263">
        <v>3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3</v>
      </c>
      <c r="FN263">
        <v>0</v>
      </c>
      <c r="FO263">
        <v>0</v>
      </c>
      <c r="FP263">
        <v>3</v>
      </c>
    </row>
    <row r="264" spans="1:172" ht="14.25">
      <c r="A264">
        <v>259</v>
      </c>
      <c r="B264" t="str">
        <f t="shared" si="48"/>
        <v>101508</v>
      </c>
      <c r="C264" t="str">
        <f t="shared" si="49"/>
        <v>Skierniewice</v>
      </c>
      <c r="D264" t="str">
        <f t="shared" si="45"/>
        <v>Skierniewicki</v>
      </c>
      <c r="E264" t="str">
        <f t="shared" si="50"/>
        <v>łódzkie</v>
      </c>
      <c r="F264">
        <v>6</v>
      </c>
      <c r="G264" t="str">
        <f>"Gimnazjum, Żelazna 5, 96-116 Dębowa Góra"</f>
        <v>Gimnazjum, Żelazna 5, 96-116 Dębowa Góra</v>
      </c>
      <c r="H264">
        <v>644</v>
      </c>
      <c r="I264">
        <v>644</v>
      </c>
      <c r="J264">
        <v>0</v>
      </c>
      <c r="K264">
        <v>450</v>
      </c>
      <c r="L264">
        <v>324</v>
      </c>
      <c r="M264">
        <v>126</v>
      </c>
      <c r="N264">
        <v>126</v>
      </c>
      <c r="O264">
        <v>0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126</v>
      </c>
      <c r="Z264">
        <v>0</v>
      </c>
      <c r="AA264">
        <v>0</v>
      </c>
      <c r="AB264">
        <v>126</v>
      </c>
      <c r="AC264">
        <v>11</v>
      </c>
      <c r="AD264">
        <v>115</v>
      </c>
      <c r="AE264">
        <v>3</v>
      </c>
      <c r="AF264">
        <v>2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1</v>
      </c>
      <c r="AP264">
        <v>3</v>
      </c>
      <c r="AQ264">
        <v>1</v>
      </c>
      <c r="AR264">
        <v>0</v>
      </c>
      <c r="AS264">
        <v>1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1</v>
      </c>
      <c r="BC264">
        <v>5</v>
      </c>
      <c r="BD264">
        <v>3</v>
      </c>
      <c r="BE264">
        <v>0</v>
      </c>
      <c r="BF264">
        <v>0</v>
      </c>
      <c r="BG264">
        <v>0</v>
      </c>
      <c r="BH264">
        <v>0</v>
      </c>
      <c r="BI264">
        <v>1</v>
      </c>
      <c r="BJ264">
        <v>0</v>
      </c>
      <c r="BK264">
        <v>0</v>
      </c>
      <c r="BL264">
        <v>1</v>
      </c>
      <c r="BM264">
        <v>0</v>
      </c>
      <c r="BN264">
        <v>5</v>
      </c>
      <c r="BO264">
        <v>70</v>
      </c>
      <c r="BP264">
        <v>62</v>
      </c>
      <c r="BQ264">
        <v>3</v>
      </c>
      <c r="BR264">
        <v>1</v>
      </c>
      <c r="BS264">
        <v>0</v>
      </c>
      <c r="BT264">
        <v>1</v>
      </c>
      <c r="BU264">
        <v>1</v>
      </c>
      <c r="BV264">
        <v>2</v>
      </c>
      <c r="BW264">
        <v>0</v>
      </c>
      <c r="BX264">
        <v>0</v>
      </c>
      <c r="BY264">
        <v>0</v>
      </c>
      <c r="BZ264">
        <v>70</v>
      </c>
      <c r="CA264">
        <v>3</v>
      </c>
      <c r="CB264">
        <v>0</v>
      </c>
      <c r="CC264">
        <v>2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1</v>
      </c>
      <c r="CK264">
        <v>0</v>
      </c>
      <c r="CL264">
        <v>3</v>
      </c>
      <c r="CM264">
        <v>1</v>
      </c>
      <c r="CN264">
        <v>0</v>
      </c>
      <c r="CO264">
        <v>0</v>
      </c>
      <c r="CP264">
        <v>0</v>
      </c>
      <c r="CQ264">
        <v>1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1</v>
      </c>
      <c r="CY264">
        <v>7</v>
      </c>
      <c r="CZ264">
        <v>3</v>
      </c>
      <c r="DA264">
        <v>0</v>
      </c>
      <c r="DB264">
        <v>2</v>
      </c>
      <c r="DC264">
        <v>0</v>
      </c>
      <c r="DD264">
        <v>0</v>
      </c>
      <c r="DE264">
        <v>0</v>
      </c>
      <c r="DF264">
        <v>0</v>
      </c>
      <c r="DG264">
        <v>1</v>
      </c>
      <c r="DH264">
        <v>1</v>
      </c>
      <c r="DI264">
        <v>0</v>
      </c>
      <c r="DJ264">
        <v>7</v>
      </c>
      <c r="DK264">
        <v>8</v>
      </c>
      <c r="DL264">
        <v>6</v>
      </c>
      <c r="DM264">
        <v>0</v>
      </c>
      <c r="DN264">
        <v>0</v>
      </c>
      <c r="DO264">
        <v>1</v>
      </c>
      <c r="DP264">
        <v>0</v>
      </c>
      <c r="DQ264">
        <v>0</v>
      </c>
      <c r="DR264">
        <v>1</v>
      </c>
      <c r="DS264">
        <v>0</v>
      </c>
      <c r="DT264">
        <v>0</v>
      </c>
      <c r="DU264">
        <v>0</v>
      </c>
      <c r="DV264">
        <v>8</v>
      </c>
      <c r="DW264">
        <v>16</v>
      </c>
      <c r="DX264">
        <v>0</v>
      </c>
      <c r="DY264">
        <v>7</v>
      </c>
      <c r="DZ264">
        <v>0</v>
      </c>
      <c r="EA264">
        <v>0</v>
      </c>
      <c r="EB264">
        <v>0</v>
      </c>
      <c r="EC264">
        <v>9</v>
      </c>
      <c r="ED264">
        <v>0</v>
      </c>
      <c r="EE264">
        <v>0</v>
      </c>
      <c r="EF264">
        <v>0</v>
      </c>
      <c r="EG264">
        <v>0</v>
      </c>
      <c r="EH264">
        <v>16</v>
      </c>
      <c r="EI264">
        <v>1</v>
      </c>
      <c r="EJ264">
        <v>0</v>
      </c>
      <c r="EK264">
        <v>1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1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</row>
    <row r="265" spans="1:172" ht="14.25">
      <c r="A265">
        <v>260</v>
      </c>
      <c r="B265" t="str">
        <f t="shared" si="48"/>
        <v>101508</v>
      </c>
      <c r="C265" t="str">
        <f t="shared" si="49"/>
        <v>Skierniewice</v>
      </c>
      <c r="D265" t="str">
        <f t="shared" si="45"/>
        <v>Skierniewicki</v>
      </c>
      <c r="E265" t="str">
        <f t="shared" si="50"/>
        <v>łódzkie</v>
      </c>
      <c r="F265">
        <v>7</v>
      </c>
      <c r="G265" t="str">
        <f>"Szkoła Podstawowa, Mokra Lewa 75A, 96-100 Skierniewice"</f>
        <v>Szkoła Podstawowa, Mokra Lewa 75A, 96-100 Skierniewice</v>
      </c>
      <c r="H265">
        <v>554</v>
      </c>
      <c r="I265">
        <v>554</v>
      </c>
      <c r="J265">
        <v>0</v>
      </c>
      <c r="K265">
        <v>390</v>
      </c>
      <c r="L265">
        <v>287</v>
      </c>
      <c r="M265">
        <v>103</v>
      </c>
      <c r="N265">
        <v>103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103</v>
      </c>
      <c r="Z265">
        <v>0</v>
      </c>
      <c r="AA265">
        <v>0</v>
      </c>
      <c r="AB265">
        <v>103</v>
      </c>
      <c r="AC265">
        <v>2</v>
      </c>
      <c r="AD265">
        <v>101</v>
      </c>
      <c r="AE265">
        <v>2</v>
      </c>
      <c r="AF265">
        <v>1</v>
      </c>
      <c r="AG265">
        <v>0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2</v>
      </c>
      <c r="AQ265">
        <v>3</v>
      </c>
      <c r="AR265">
        <v>2</v>
      </c>
      <c r="AS265">
        <v>1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3</v>
      </c>
      <c r="BC265">
        <v>3</v>
      </c>
      <c r="BD265">
        <v>2</v>
      </c>
      <c r="BE265">
        <v>0</v>
      </c>
      <c r="BF265">
        <v>0</v>
      </c>
      <c r="BG265">
        <v>1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3</v>
      </c>
      <c r="BO265">
        <v>57</v>
      </c>
      <c r="BP265">
        <v>49</v>
      </c>
      <c r="BQ265">
        <v>0</v>
      </c>
      <c r="BR265">
        <v>2</v>
      </c>
      <c r="BS265">
        <v>1</v>
      </c>
      <c r="BT265">
        <v>1</v>
      </c>
      <c r="BU265">
        <v>0</v>
      </c>
      <c r="BV265">
        <v>1</v>
      </c>
      <c r="BW265">
        <v>0</v>
      </c>
      <c r="BX265">
        <v>0</v>
      </c>
      <c r="BY265">
        <v>3</v>
      </c>
      <c r="BZ265">
        <v>57</v>
      </c>
      <c r="CA265">
        <v>1</v>
      </c>
      <c r="CB265">
        <v>0</v>
      </c>
      <c r="CC265">
        <v>0</v>
      </c>
      <c r="CD265">
        <v>0</v>
      </c>
      <c r="CE265">
        <v>1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1</v>
      </c>
      <c r="CM265">
        <v>2</v>
      </c>
      <c r="CN265">
        <v>1</v>
      </c>
      <c r="CO265">
        <v>1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2</v>
      </c>
      <c r="CY265">
        <v>5</v>
      </c>
      <c r="CZ265">
        <v>2</v>
      </c>
      <c r="DA265">
        <v>0</v>
      </c>
      <c r="DB265">
        <v>3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5</v>
      </c>
      <c r="DK265">
        <v>20</v>
      </c>
      <c r="DL265">
        <v>11</v>
      </c>
      <c r="DM265">
        <v>5</v>
      </c>
      <c r="DN265">
        <v>1</v>
      </c>
      <c r="DO265">
        <v>0</v>
      </c>
      <c r="DP265">
        <v>0</v>
      </c>
      <c r="DQ265">
        <v>0</v>
      </c>
      <c r="DR265">
        <v>2</v>
      </c>
      <c r="DS265">
        <v>0</v>
      </c>
      <c r="DT265">
        <v>0</v>
      </c>
      <c r="DU265">
        <v>1</v>
      </c>
      <c r="DV265">
        <v>20</v>
      </c>
      <c r="DW265">
        <v>7</v>
      </c>
      <c r="DX265">
        <v>0</v>
      </c>
      <c r="DY265">
        <v>5</v>
      </c>
      <c r="DZ265">
        <v>0</v>
      </c>
      <c r="EA265">
        <v>0</v>
      </c>
      <c r="EB265">
        <v>1</v>
      </c>
      <c r="EC265">
        <v>0</v>
      </c>
      <c r="ED265">
        <v>0</v>
      </c>
      <c r="EE265">
        <v>0</v>
      </c>
      <c r="EF265">
        <v>0</v>
      </c>
      <c r="EG265">
        <v>1</v>
      </c>
      <c r="EH265">
        <v>7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1</v>
      </c>
      <c r="ET265">
        <v>0</v>
      </c>
      <c r="EU265">
        <v>0</v>
      </c>
      <c r="EV265">
        <v>0</v>
      </c>
      <c r="EW265">
        <v>0</v>
      </c>
      <c r="EX265">
        <v>1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1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</row>
    <row r="266" spans="1:172" ht="14.25">
      <c r="A266">
        <v>261</v>
      </c>
      <c r="B266" t="str">
        <f t="shared" si="48"/>
        <v>101508</v>
      </c>
      <c r="C266" t="str">
        <f t="shared" si="49"/>
        <v>Skierniewice</v>
      </c>
      <c r="D266" t="str">
        <f t="shared" si="45"/>
        <v>Skierniewicki</v>
      </c>
      <c r="E266" t="str">
        <f t="shared" si="50"/>
        <v>łódzkie</v>
      </c>
      <c r="F266">
        <v>8</v>
      </c>
      <c r="G266" t="str">
        <f>"Strażnica OSP, Sierakowice Lewe 38C, 96-100 Skierniewice"</f>
        <v>Strażnica OSP, Sierakowice Lewe 38C, 96-100 Skierniewice</v>
      </c>
      <c r="H266">
        <v>664</v>
      </c>
      <c r="I266">
        <v>664</v>
      </c>
      <c r="J266">
        <v>0</v>
      </c>
      <c r="K266">
        <v>460</v>
      </c>
      <c r="L266">
        <v>336</v>
      </c>
      <c r="M266">
        <v>124</v>
      </c>
      <c r="N266">
        <v>124</v>
      </c>
      <c r="O266">
        <v>0</v>
      </c>
      <c r="P266">
        <v>0</v>
      </c>
      <c r="Q266">
        <v>3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124</v>
      </c>
      <c r="Z266">
        <v>0</v>
      </c>
      <c r="AA266">
        <v>0</v>
      </c>
      <c r="AB266">
        <v>124</v>
      </c>
      <c r="AC266">
        <v>1</v>
      </c>
      <c r="AD266">
        <v>123</v>
      </c>
      <c r="AE266">
        <v>1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1</v>
      </c>
      <c r="AP266">
        <v>1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3</v>
      </c>
      <c r="BD266">
        <v>0</v>
      </c>
      <c r="BE266">
        <v>0</v>
      </c>
      <c r="BF266">
        <v>0</v>
      </c>
      <c r="BG266">
        <v>1</v>
      </c>
      <c r="BH266">
        <v>1</v>
      </c>
      <c r="BI266">
        <v>0</v>
      </c>
      <c r="BJ266">
        <v>0</v>
      </c>
      <c r="BK266">
        <v>0</v>
      </c>
      <c r="BL266">
        <v>0</v>
      </c>
      <c r="BM266">
        <v>1</v>
      </c>
      <c r="BN266">
        <v>3</v>
      </c>
      <c r="BO266">
        <v>60</v>
      </c>
      <c r="BP266">
        <v>57</v>
      </c>
      <c r="BQ266">
        <v>1</v>
      </c>
      <c r="BR266">
        <v>0</v>
      </c>
      <c r="BS266">
        <v>1</v>
      </c>
      <c r="BT266">
        <v>0</v>
      </c>
      <c r="BU266">
        <v>1</v>
      </c>
      <c r="BV266">
        <v>0</v>
      </c>
      <c r="BW266">
        <v>0</v>
      </c>
      <c r="BX266">
        <v>0</v>
      </c>
      <c r="BY266">
        <v>0</v>
      </c>
      <c r="BZ266">
        <v>60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6</v>
      </c>
      <c r="CN266">
        <v>4</v>
      </c>
      <c r="CO266">
        <v>2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6</v>
      </c>
      <c r="CY266">
        <v>18</v>
      </c>
      <c r="CZ266">
        <v>5</v>
      </c>
      <c r="DA266">
        <v>1</v>
      </c>
      <c r="DB266">
        <v>6</v>
      </c>
      <c r="DC266">
        <v>0</v>
      </c>
      <c r="DD266">
        <v>0</v>
      </c>
      <c r="DE266">
        <v>1</v>
      </c>
      <c r="DF266">
        <v>1</v>
      </c>
      <c r="DG266">
        <v>2</v>
      </c>
      <c r="DH266">
        <v>0</v>
      </c>
      <c r="DI266">
        <v>2</v>
      </c>
      <c r="DJ266">
        <v>18</v>
      </c>
      <c r="DK266">
        <v>26</v>
      </c>
      <c r="DL266">
        <v>15</v>
      </c>
      <c r="DM266">
        <v>8</v>
      </c>
      <c r="DN266">
        <v>0</v>
      </c>
      <c r="DO266">
        <v>0</v>
      </c>
      <c r="DP266">
        <v>2</v>
      </c>
      <c r="DQ266">
        <v>0</v>
      </c>
      <c r="DR266">
        <v>0</v>
      </c>
      <c r="DS266">
        <v>0</v>
      </c>
      <c r="DT266">
        <v>1</v>
      </c>
      <c r="DU266">
        <v>0</v>
      </c>
      <c r="DV266">
        <v>26</v>
      </c>
      <c r="DW266">
        <v>9</v>
      </c>
      <c r="DX266">
        <v>0</v>
      </c>
      <c r="DY266">
        <v>5</v>
      </c>
      <c r="DZ266">
        <v>1</v>
      </c>
      <c r="EA266">
        <v>0</v>
      </c>
      <c r="EB266">
        <v>0</v>
      </c>
      <c r="EC266">
        <v>1</v>
      </c>
      <c r="ED266">
        <v>0</v>
      </c>
      <c r="EE266">
        <v>0</v>
      </c>
      <c r="EF266">
        <v>0</v>
      </c>
      <c r="EG266">
        <v>2</v>
      </c>
      <c r="EH266">
        <v>9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</row>
    <row r="267" spans="1:172" ht="14.25">
      <c r="A267">
        <v>262</v>
      </c>
      <c r="B267" t="str">
        <f>"101509"</f>
        <v>101509</v>
      </c>
      <c r="C267" t="str">
        <f>"Słupia"</f>
        <v>Słupia</v>
      </c>
      <c r="D267" t="str">
        <f t="shared" si="45"/>
        <v>Skierniewicki</v>
      </c>
      <c r="E267" t="str">
        <f t="shared" si="50"/>
        <v>łódzkie</v>
      </c>
      <c r="F267">
        <v>1</v>
      </c>
      <c r="G267" t="str">
        <f>"Urząd Gminy, Słupia 136, 96-128 Słupia"</f>
        <v>Urząd Gminy, Słupia 136, 96-128 Słupia</v>
      </c>
      <c r="H267">
        <v>1325</v>
      </c>
      <c r="I267">
        <v>1325</v>
      </c>
      <c r="J267">
        <v>0</v>
      </c>
      <c r="K267">
        <v>930</v>
      </c>
      <c r="L267">
        <v>685</v>
      </c>
      <c r="M267">
        <v>245</v>
      </c>
      <c r="N267">
        <v>245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245</v>
      </c>
      <c r="Z267">
        <v>0</v>
      </c>
      <c r="AA267">
        <v>0</v>
      </c>
      <c r="AB267">
        <v>245</v>
      </c>
      <c r="AC267">
        <v>11</v>
      </c>
      <c r="AD267">
        <v>234</v>
      </c>
      <c r="AE267">
        <v>5</v>
      </c>
      <c r="AF267">
        <v>2</v>
      </c>
      <c r="AG267">
        <v>0</v>
      </c>
      <c r="AH267">
        <v>1</v>
      </c>
      <c r="AI267">
        <v>0</v>
      </c>
      <c r="AJ267">
        <v>1</v>
      </c>
      <c r="AK267">
        <v>0</v>
      </c>
      <c r="AL267">
        <v>0</v>
      </c>
      <c r="AM267">
        <v>0</v>
      </c>
      <c r="AN267">
        <v>1</v>
      </c>
      <c r="AO267">
        <v>0</v>
      </c>
      <c r="AP267">
        <v>5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7</v>
      </c>
      <c r="BD267">
        <v>1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6</v>
      </c>
      <c r="BN267">
        <v>7</v>
      </c>
      <c r="BO267">
        <v>124</v>
      </c>
      <c r="BP267">
        <v>115</v>
      </c>
      <c r="BQ267">
        <v>4</v>
      </c>
      <c r="BR267">
        <v>0</v>
      </c>
      <c r="BS267">
        <v>0</v>
      </c>
      <c r="BT267">
        <v>0</v>
      </c>
      <c r="BU267">
        <v>4</v>
      </c>
      <c r="BV267">
        <v>1</v>
      </c>
      <c r="BW267">
        <v>0</v>
      </c>
      <c r="BX267">
        <v>0</v>
      </c>
      <c r="BY267">
        <v>0</v>
      </c>
      <c r="BZ267">
        <v>124</v>
      </c>
      <c r="CA267">
        <v>1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1</v>
      </c>
      <c r="CK267">
        <v>0</v>
      </c>
      <c r="CL267">
        <v>1</v>
      </c>
      <c r="CM267">
        <v>3</v>
      </c>
      <c r="CN267">
        <v>0</v>
      </c>
      <c r="CO267">
        <v>0</v>
      </c>
      <c r="CP267">
        <v>1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2</v>
      </c>
      <c r="CX267">
        <v>3</v>
      </c>
      <c r="CY267">
        <v>14</v>
      </c>
      <c r="CZ267">
        <v>9</v>
      </c>
      <c r="DA267">
        <v>3</v>
      </c>
      <c r="DB267">
        <v>0</v>
      </c>
      <c r="DC267">
        <v>1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1</v>
      </c>
      <c r="DJ267">
        <v>14</v>
      </c>
      <c r="DK267">
        <v>12</v>
      </c>
      <c r="DL267">
        <v>5</v>
      </c>
      <c r="DM267">
        <v>5</v>
      </c>
      <c r="DN267">
        <v>0</v>
      </c>
      <c r="DO267">
        <v>0</v>
      </c>
      <c r="DP267">
        <v>1</v>
      </c>
      <c r="DQ267">
        <v>0</v>
      </c>
      <c r="DR267">
        <v>0</v>
      </c>
      <c r="DS267">
        <v>0</v>
      </c>
      <c r="DT267">
        <v>0</v>
      </c>
      <c r="DU267">
        <v>1</v>
      </c>
      <c r="DV267">
        <v>12</v>
      </c>
      <c r="DW267">
        <v>67</v>
      </c>
      <c r="DX267">
        <v>3</v>
      </c>
      <c r="DY267">
        <v>15</v>
      </c>
      <c r="DZ267">
        <v>0</v>
      </c>
      <c r="EA267">
        <v>0</v>
      </c>
      <c r="EB267">
        <v>2</v>
      </c>
      <c r="EC267">
        <v>45</v>
      </c>
      <c r="ED267">
        <v>0</v>
      </c>
      <c r="EE267">
        <v>0</v>
      </c>
      <c r="EF267">
        <v>0</v>
      </c>
      <c r="EG267">
        <v>2</v>
      </c>
      <c r="EH267">
        <v>67</v>
      </c>
      <c r="EI267">
        <v>1</v>
      </c>
      <c r="EJ267">
        <v>0</v>
      </c>
      <c r="EK267">
        <v>1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1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</row>
    <row r="268" spans="1:172" ht="14.25">
      <c r="A268">
        <v>263</v>
      </c>
      <c r="B268" t="str">
        <f>"101509"</f>
        <v>101509</v>
      </c>
      <c r="C268" t="str">
        <f>"Słupia"</f>
        <v>Słupia</v>
      </c>
      <c r="D268" t="str">
        <f t="shared" si="45"/>
        <v>Skierniewicki</v>
      </c>
      <c r="E268" t="str">
        <f t="shared" si="50"/>
        <v>łódzkie</v>
      </c>
      <c r="F268">
        <v>2</v>
      </c>
      <c r="G268" t="str">
        <f>"Zespół Szkół Ogólnokształcących, Winna Góra 40, 96-128 Słupia"</f>
        <v>Zespół Szkół Ogólnokształcących, Winna Góra 40, 96-128 Słupia</v>
      </c>
      <c r="H268">
        <v>801</v>
      </c>
      <c r="I268">
        <v>801</v>
      </c>
      <c r="J268">
        <v>0</v>
      </c>
      <c r="K268">
        <v>560</v>
      </c>
      <c r="L268">
        <v>421</v>
      </c>
      <c r="M268">
        <v>139</v>
      </c>
      <c r="N268">
        <v>139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139</v>
      </c>
      <c r="Z268">
        <v>0</v>
      </c>
      <c r="AA268">
        <v>0</v>
      </c>
      <c r="AB268">
        <v>139</v>
      </c>
      <c r="AC268">
        <v>13</v>
      </c>
      <c r="AD268">
        <v>126</v>
      </c>
      <c r="AE268">
        <v>1</v>
      </c>
      <c r="AF268">
        <v>0</v>
      </c>
      <c r="AG268">
        <v>1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1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2</v>
      </c>
      <c r="BD268">
        <v>0</v>
      </c>
      <c r="BE268">
        <v>0</v>
      </c>
      <c r="BF268">
        <v>0</v>
      </c>
      <c r="BG268">
        <v>1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1</v>
      </c>
      <c r="BN268">
        <v>2</v>
      </c>
      <c r="BO268">
        <v>57</v>
      </c>
      <c r="BP268">
        <v>53</v>
      </c>
      <c r="BQ268">
        <v>1</v>
      </c>
      <c r="BR268">
        <v>2</v>
      </c>
      <c r="BS268">
        <v>0</v>
      </c>
      <c r="BT268">
        <v>0</v>
      </c>
      <c r="BU268">
        <v>0</v>
      </c>
      <c r="BV268">
        <v>0</v>
      </c>
      <c r="BW268">
        <v>1</v>
      </c>
      <c r="BX268">
        <v>0</v>
      </c>
      <c r="BY268">
        <v>0</v>
      </c>
      <c r="BZ268">
        <v>57</v>
      </c>
      <c r="CA268">
        <v>1</v>
      </c>
      <c r="CB268">
        <v>0</v>
      </c>
      <c r="CC268">
        <v>0</v>
      </c>
      <c r="CD268">
        <v>0</v>
      </c>
      <c r="CE268">
        <v>0</v>
      </c>
      <c r="CF268">
        <v>1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1</v>
      </c>
      <c r="CM268">
        <v>5</v>
      </c>
      <c r="CN268">
        <v>4</v>
      </c>
      <c r="CO268">
        <v>1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5</v>
      </c>
      <c r="CY268">
        <v>3</v>
      </c>
      <c r="CZ268">
        <v>2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1</v>
      </c>
      <c r="DI268">
        <v>0</v>
      </c>
      <c r="DJ268">
        <v>3</v>
      </c>
      <c r="DK268">
        <v>9</v>
      </c>
      <c r="DL268">
        <v>2</v>
      </c>
      <c r="DM268">
        <v>7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9</v>
      </c>
      <c r="DW268">
        <v>45</v>
      </c>
      <c r="DX268">
        <v>1</v>
      </c>
      <c r="DY268">
        <v>19</v>
      </c>
      <c r="DZ268">
        <v>0</v>
      </c>
      <c r="EA268">
        <v>0</v>
      </c>
      <c r="EB268">
        <v>0</v>
      </c>
      <c r="EC268">
        <v>23</v>
      </c>
      <c r="ED268">
        <v>0</v>
      </c>
      <c r="EE268">
        <v>0</v>
      </c>
      <c r="EF268">
        <v>0</v>
      </c>
      <c r="EG268">
        <v>2</v>
      </c>
      <c r="EH268">
        <v>45</v>
      </c>
      <c r="EI268">
        <v>2</v>
      </c>
      <c r="EJ268">
        <v>0</v>
      </c>
      <c r="EK268">
        <v>1</v>
      </c>
      <c r="EL268">
        <v>0</v>
      </c>
      <c r="EM268">
        <v>0</v>
      </c>
      <c r="EN268">
        <v>0</v>
      </c>
      <c r="EO268">
        <v>0</v>
      </c>
      <c r="EP268">
        <v>1</v>
      </c>
      <c r="EQ268">
        <v>0</v>
      </c>
      <c r="ER268">
        <v>2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1</v>
      </c>
      <c r="FF268">
        <v>0</v>
      </c>
      <c r="FG268">
        <v>0</v>
      </c>
      <c r="FH268">
        <v>1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1</v>
      </c>
    </row>
    <row r="269" spans="1:172" ht="14.25">
      <c r="A269">
        <v>264</v>
      </c>
      <c r="B269" t="str">
        <f aca="true" t="shared" si="51" ref="B269:B294">"106301"</f>
        <v>106301</v>
      </c>
      <c r="C269" t="str">
        <f aca="true" t="shared" si="52" ref="C269:C294">"m. Skierniewice"</f>
        <v>m. Skierniewice</v>
      </c>
      <c r="D269" t="str">
        <f aca="true" t="shared" si="53" ref="D269:D294">"Skierniewice"</f>
        <v>Skierniewice</v>
      </c>
      <c r="E269" t="str">
        <f t="shared" si="50"/>
        <v>łódzkie</v>
      </c>
      <c r="F269">
        <v>1</v>
      </c>
      <c r="G269" t="str">
        <f>"Gimnazium Nr 1, ul. Szarych Szeregów 6, 96-100 Skierniewice"</f>
        <v>Gimnazium Nr 1, ul. Szarych Szeregów 6, 96-100 Skierniewice</v>
      </c>
      <c r="H269">
        <v>1413</v>
      </c>
      <c r="I269">
        <v>1413</v>
      </c>
      <c r="J269">
        <v>0</v>
      </c>
      <c r="K269">
        <v>1000</v>
      </c>
      <c r="L269">
        <v>642</v>
      </c>
      <c r="M269">
        <v>358</v>
      </c>
      <c r="N269">
        <v>358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358</v>
      </c>
      <c r="Z269">
        <v>0</v>
      </c>
      <c r="AA269">
        <v>0</v>
      </c>
      <c r="AB269">
        <v>358</v>
      </c>
      <c r="AC269">
        <v>6</v>
      </c>
      <c r="AD269">
        <v>352</v>
      </c>
      <c r="AE269">
        <v>5</v>
      </c>
      <c r="AF269">
        <v>3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1</v>
      </c>
      <c r="AM269">
        <v>0</v>
      </c>
      <c r="AN269">
        <v>1</v>
      </c>
      <c r="AO269">
        <v>0</v>
      </c>
      <c r="AP269">
        <v>5</v>
      </c>
      <c r="AQ269">
        <v>3</v>
      </c>
      <c r="AR269">
        <v>2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1</v>
      </c>
      <c r="BB269">
        <v>3</v>
      </c>
      <c r="BC269">
        <v>36</v>
      </c>
      <c r="BD269">
        <v>23</v>
      </c>
      <c r="BE269">
        <v>2</v>
      </c>
      <c r="BF269">
        <v>2</v>
      </c>
      <c r="BG269">
        <v>1</v>
      </c>
      <c r="BH269">
        <v>1</v>
      </c>
      <c r="BI269">
        <v>3</v>
      </c>
      <c r="BJ269">
        <v>0</v>
      </c>
      <c r="BK269">
        <v>0</v>
      </c>
      <c r="BL269">
        <v>0</v>
      </c>
      <c r="BM269">
        <v>4</v>
      </c>
      <c r="BN269">
        <v>36</v>
      </c>
      <c r="BO269">
        <v>97</v>
      </c>
      <c r="BP269">
        <v>80</v>
      </c>
      <c r="BQ269">
        <v>4</v>
      </c>
      <c r="BR269">
        <v>5</v>
      </c>
      <c r="BS269">
        <v>2</v>
      </c>
      <c r="BT269">
        <v>3</v>
      </c>
      <c r="BU269">
        <v>0</v>
      </c>
      <c r="BV269">
        <v>0</v>
      </c>
      <c r="BW269">
        <v>0</v>
      </c>
      <c r="BX269">
        <v>0</v>
      </c>
      <c r="BY269">
        <v>3</v>
      </c>
      <c r="BZ269">
        <v>97</v>
      </c>
      <c r="CA269">
        <v>12</v>
      </c>
      <c r="CB269">
        <v>5</v>
      </c>
      <c r="CC269">
        <v>0</v>
      </c>
      <c r="CD269">
        <v>1</v>
      </c>
      <c r="CE269">
        <v>0</v>
      </c>
      <c r="CF269">
        <v>0</v>
      </c>
      <c r="CG269">
        <v>1</v>
      </c>
      <c r="CH269">
        <v>1</v>
      </c>
      <c r="CI269">
        <v>0</v>
      </c>
      <c r="CJ269">
        <v>3</v>
      </c>
      <c r="CK269">
        <v>1</v>
      </c>
      <c r="CL269">
        <v>12</v>
      </c>
      <c r="CM269">
        <v>11</v>
      </c>
      <c r="CN269">
        <v>9</v>
      </c>
      <c r="CO269">
        <v>1</v>
      </c>
      <c r="CP269">
        <v>0</v>
      </c>
      <c r="CQ269">
        <v>1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11</v>
      </c>
      <c r="CY269">
        <v>21</v>
      </c>
      <c r="CZ269">
        <v>12</v>
      </c>
      <c r="DA269">
        <v>1</v>
      </c>
      <c r="DB269">
        <v>4</v>
      </c>
      <c r="DC269">
        <v>1</v>
      </c>
      <c r="DD269">
        <v>0</v>
      </c>
      <c r="DE269">
        <v>0</v>
      </c>
      <c r="DF269">
        <v>1</v>
      </c>
      <c r="DG269">
        <v>1</v>
      </c>
      <c r="DH269">
        <v>1</v>
      </c>
      <c r="DI269">
        <v>0</v>
      </c>
      <c r="DJ269">
        <v>21</v>
      </c>
      <c r="DK269">
        <v>139</v>
      </c>
      <c r="DL269">
        <v>91</v>
      </c>
      <c r="DM269">
        <v>29</v>
      </c>
      <c r="DN269">
        <v>2</v>
      </c>
      <c r="DO269">
        <v>0</v>
      </c>
      <c r="DP269">
        <v>1</v>
      </c>
      <c r="DQ269">
        <v>4</v>
      </c>
      <c r="DR269">
        <v>1</v>
      </c>
      <c r="DS269">
        <v>4</v>
      </c>
      <c r="DT269">
        <v>5</v>
      </c>
      <c r="DU269">
        <v>2</v>
      </c>
      <c r="DV269">
        <v>139</v>
      </c>
      <c r="DW269">
        <v>18</v>
      </c>
      <c r="DX269">
        <v>1</v>
      </c>
      <c r="DY269">
        <v>9</v>
      </c>
      <c r="DZ269">
        <v>0</v>
      </c>
      <c r="EA269">
        <v>0</v>
      </c>
      <c r="EB269">
        <v>0</v>
      </c>
      <c r="EC269">
        <v>8</v>
      </c>
      <c r="ED269">
        <v>0</v>
      </c>
      <c r="EE269">
        <v>0</v>
      </c>
      <c r="EF269">
        <v>0</v>
      </c>
      <c r="EG269">
        <v>0</v>
      </c>
      <c r="EH269">
        <v>18</v>
      </c>
      <c r="EI269">
        <v>10</v>
      </c>
      <c r="EJ269">
        <v>2</v>
      </c>
      <c r="EK269">
        <v>4</v>
      </c>
      <c r="EL269">
        <v>0</v>
      </c>
      <c r="EM269">
        <v>0</v>
      </c>
      <c r="EN269">
        <v>0</v>
      </c>
      <c r="EO269">
        <v>0</v>
      </c>
      <c r="EP269">
        <v>4</v>
      </c>
      <c r="EQ269">
        <v>0</v>
      </c>
      <c r="ER269">
        <v>10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</row>
    <row r="270" spans="1:172" ht="14.25">
      <c r="A270">
        <v>265</v>
      </c>
      <c r="B270" t="str">
        <f t="shared" si="51"/>
        <v>106301</v>
      </c>
      <c r="C270" t="str">
        <f t="shared" si="52"/>
        <v>m. Skierniewice</v>
      </c>
      <c r="D270" t="str">
        <f t="shared" si="53"/>
        <v>Skierniewice</v>
      </c>
      <c r="E270" t="str">
        <f t="shared" si="50"/>
        <v>łódzkie</v>
      </c>
      <c r="F270">
        <v>2</v>
      </c>
      <c r="G270" t="str">
        <f>"Gimnazium Nr 1, ul. Szarych Szeregów 6, 96-100 Skierniewice"</f>
        <v>Gimnazium Nr 1, ul. Szarych Szeregów 6, 96-100 Skierniewice</v>
      </c>
      <c r="H270">
        <v>1393</v>
      </c>
      <c r="I270">
        <v>1393</v>
      </c>
      <c r="J270">
        <v>0</v>
      </c>
      <c r="K270">
        <v>980</v>
      </c>
      <c r="L270">
        <v>574</v>
      </c>
      <c r="M270">
        <v>406</v>
      </c>
      <c r="N270">
        <v>406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406</v>
      </c>
      <c r="Z270">
        <v>0</v>
      </c>
      <c r="AA270">
        <v>0</v>
      </c>
      <c r="AB270">
        <v>406</v>
      </c>
      <c r="AC270">
        <v>5</v>
      </c>
      <c r="AD270">
        <v>401</v>
      </c>
      <c r="AE270">
        <v>7</v>
      </c>
      <c r="AF270">
        <v>5</v>
      </c>
      <c r="AG270">
        <v>0</v>
      </c>
      <c r="AH270">
        <v>0</v>
      </c>
      <c r="AI270">
        <v>0</v>
      </c>
      <c r="AJ270">
        <v>1</v>
      </c>
      <c r="AK270">
        <v>0</v>
      </c>
      <c r="AL270">
        <v>0</v>
      </c>
      <c r="AM270">
        <v>1</v>
      </c>
      <c r="AN270">
        <v>0</v>
      </c>
      <c r="AO270">
        <v>0</v>
      </c>
      <c r="AP270">
        <v>7</v>
      </c>
      <c r="AQ270">
        <v>6</v>
      </c>
      <c r="AR270">
        <v>4</v>
      </c>
      <c r="AS270">
        <v>2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6</v>
      </c>
      <c r="BC270">
        <v>46</v>
      </c>
      <c r="BD270">
        <v>31</v>
      </c>
      <c r="BE270">
        <v>4</v>
      </c>
      <c r="BF270">
        <v>3</v>
      </c>
      <c r="BG270">
        <v>0</v>
      </c>
      <c r="BH270">
        <v>0</v>
      </c>
      <c r="BI270">
        <v>2</v>
      </c>
      <c r="BJ270">
        <v>0</v>
      </c>
      <c r="BK270">
        <v>5</v>
      </c>
      <c r="BL270">
        <v>0</v>
      </c>
      <c r="BM270">
        <v>1</v>
      </c>
      <c r="BN270">
        <v>46</v>
      </c>
      <c r="BO270">
        <v>93</v>
      </c>
      <c r="BP270">
        <v>76</v>
      </c>
      <c r="BQ270">
        <v>6</v>
      </c>
      <c r="BR270">
        <v>8</v>
      </c>
      <c r="BS270">
        <v>1</v>
      </c>
      <c r="BT270">
        <v>0</v>
      </c>
      <c r="BU270">
        <v>2</v>
      </c>
      <c r="BV270">
        <v>0</v>
      </c>
      <c r="BW270">
        <v>0</v>
      </c>
      <c r="BX270">
        <v>0</v>
      </c>
      <c r="BY270">
        <v>0</v>
      </c>
      <c r="BZ270">
        <v>93</v>
      </c>
      <c r="CA270">
        <v>14</v>
      </c>
      <c r="CB270">
        <v>3</v>
      </c>
      <c r="CC270">
        <v>2</v>
      </c>
      <c r="CD270">
        <v>1</v>
      </c>
      <c r="CE270">
        <v>0</v>
      </c>
      <c r="CF270">
        <v>0</v>
      </c>
      <c r="CG270">
        <v>3</v>
      </c>
      <c r="CH270">
        <v>0</v>
      </c>
      <c r="CI270">
        <v>0</v>
      </c>
      <c r="CJ270">
        <v>5</v>
      </c>
      <c r="CK270">
        <v>0</v>
      </c>
      <c r="CL270">
        <v>14</v>
      </c>
      <c r="CM270">
        <v>10</v>
      </c>
      <c r="CN270">
        <v>9</v>
      </c>
      <c r="CO270">
        <v>1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10</v>
      </c>
      <c r="CY270">
        <v>27</v>
      </c>
      <c r="CZ270">
        <v>15</v>
      </c>
      <c r="DA270">
        <v>2</v>
      </c>
      <c r="DB270">
        <v>5</v>
      </c>
      <c r="DC270">
        <v>0</v>
      </c>
      <c r="DD270">
        <v>0</v>
      </c>
      <c r="DE270">
        <v>1</v>
      </c>
      <c r="DF270">
        <v>0</v>
      </c>
      <c r="DG270">
        <v>0</v>
      </c>
      <c r="DH270">
        <v>1</v>
      </c>
      <c r="DI270">
        <v>3</v>
      </c>
      <c r="DJ270">
        <v>27</v>
      </c>
      <c r="DK270">
        <v>171</v>
      </c>
      <c r="DL270">
        <v>113</v>
      </c>
      <c r="DM270">
        <v>39</v>
      </c>
      <c r="DN270">
        <v>1</v>
      </c>
      <c r="DO270">
        <v>3</v>
      </c>
      <c r="DP270">
        <v>1</v>
      </c>
      <c r="DQ270">
        <v>4</v>
      </c>
      <c r="DR270">
        <v>1</v>
      </c>
      <c r="DS270">
        <v>4</v>
      </c>
      <c r="DT270">
        <v>2</v>
      </c>
      <c r="DU270">
        <v>3</v>
      </c>
      <c r="DV270">
        <v>171</v>
      </c>
      <c r="DW270">
        <v>21</v>
      </c>
      <c r="DX270">
        <v>1</v>
      </c>
      <c r="DY270">
        <v>12</v>
      </c>
      <c r="DZ270">
        <v>0</v>
      </c>
      <c r="EA270">
        <v>0</v>
      </c>
      <c r="EB270">
        <v>0</v>
      </c>
      <c r="EC270">
        <v>8</v>
      </c>
      <c r="ED270">
        <v>0</v>
      </c>
      <c r="EE270">
        <v>0</v>
      </c>
      <c r="EF270">
        <v>0</v>
      </c>
      <c r="EG270">
        <v>0</v>
      </c>
      <c r="EH270">
        <v>21</v>
      </c>
      <c r="EI270">
        <v>4</v>
      </c>
      <c r="EJ270">
        <v>0</v>
      </c>
      <c r="EK270">
        <v>4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4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2</v>
      </c>
      <c r="FF270">
        <v>1</v>
      </c>
      <c r="FG270">
        <v>0</v>
      </c>
      <c r="FH270">
        <v>0</v>
      </c>
      <c r="FI270">
        <v>1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2</v>
      </c>
    </row>
    <row r="271" spans="1:172" ht="14.25">
      <c r="A271">
        <v>266</v>
      </c>
      <c r="B271" t="str">
        <f t="shared" si="51"/>
        <v>106301</v>
      </c>
      <c r="C271" t="str">
        <f t="shared" si="52"/>
        <v>m. Skierniewice</v>
      </c>
      <c r="D271" t="str">
        <f t="shared" si="53"/>
        <v>Skierniewice</v>
      </c>
      <c r="E271" t="str">
        <f t="shared" si="50"/>
        <v>łódzkie</v>
      </c>
      <c r="F271">
        <v>3</v>
      </c>
      <c r="G271" t="str">
        <f>"Przedszkole Nr 4, ul. Jarosława Iwaszkiewicza 1, 96-100 Skierniewice"</f>
        <v>Przedszkole Nr 4, ul. Jarosława Iwaszkiewicza 1, 96-100 Skierniewice</v>
      </c>
      <c r="H271">
        <v>1884</v>
      </c>
      <c r="I271">
        <v>1884</v>
      </c>
      <c r="J271">
        <v>0</v>
      </c>
      <c r="K271">
        <v>1330</v>
      </c>
      <c r="L271">
        <v>814</v>
      </c>
      <c r="M271">
        <v>516</v>
      </c>
      <c r="N271">
        <v>516</v>
      </c>
      <c r="O271">
        <v>0</v>
      </c>
      <c r="P271">
        <v>0</v>
      </c>
      <c r="Q271">
        <v>3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516</v>
      </c>
      <c r="Z271">
        <v>0</v>
      </c>
      <c r="AA271">
        <v>0</v>
      </c>
      <c r="AB271">
        <v>516</v>
      </c>
      <c r="AC271">
        <v>13</v>
      </c>
      <c r="AD271">
        <v>503</v>
      </c>
      <c r="AE271">
        <v>6</v>
      </c>
      <c r="AF271">
        <v>4</v>
      </c>
      <c r="AG271">
        <v>1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1</v>
      </c>
      <c r="AN271">
        <v>0</v>
      </c>
      <c r="AO271">
        <v>0</v>
      </c>
      <c r="AP271">
        <v>6</v>
      </c>
      <c r="AQ271">
        <v>2</v>
      </c>
      <c r="AR271">
        <v>1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1</v>
      </c>
      <c r="AY271">
        <v>0</v>
      </c>
      <c r="AZ271">
        <v>0</v>
      </c>
      <c r="BA271">
        <v>0</v>
      </c>
      <c r="BB271">
        <v>2</v>
      </c>
      <c r="BC271">
        <v>54</v>
      </c>
      <c r="BD271">
        <v>35</v>
      </c>
      <c r="BE271">
        <v>6</v>
      </c>
      <c r="BF271">
        <v>1</v>
      </c>
      <c r="BG271">
        <v>3</v>
      </c>
      <c r="BH271">
        <v>1</v>
      </c>
      <c r="BI271">
        <v>1</v>
      </c>
      <c r="BJ271">
        <v>2</v>
      </c>
      <c r="BK271">
        <v>1</v>
      </c>
      <c r="BL271">
        <v>2</v>
      </c>
      <c r="BM271">
        <v>2</v>
      </c>
      <c r="BN271">
        <v>54</v>
      </c>
      <c r="BO271">
        <v>186</v>
      </c>
      <c r="BP271">
        <v>171</v>
      </c>
      <c r="BQ271">
        <v>3</v>
      </c>
      <c r="BR271">
        <v>4</v>
      </c>
      <c r="BS271">
        <v>1</v>
      </c>
      <c r="BT271">
        <v>0</v>
      </c>
      <c r="BU271">
        <v>4</v>
      </c>
      <c r="BV271">
        <v>0</v>
      </c>
      <c r="BW271">
        <v>0</v>
      </c>
      <c r="BX271">
        <v>0</v>
      </c>
      <c r="BY271">
        <v>3</v>
      </c>
      <c r="BZ271">
        <v>186</v>
      </c>
      <c r="CA271">
        <v>3</v>
      </c>
      <c r="CB271">
        <v>0</v>
      </c>
      <c r="CC271">
        <v>1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2</v>
      </c>
      <c r="CK271">
        <v>0</v>
      </c>
      <c r="CL271">
        <v>3</v>
      </c>
      <c r="CM271">
        <v>9</v>
      </c>
      <c r="CN271">
        <v>6</v>
      </c>
      <c r="CO271">
        <v>2</v>
      </c>
      <c r="CP271">
        <v>0</v>
      </c>
      <c r="CQ271">
        <v>0</v>
      </c>
      <c r="CR271">
        <v>0</v>
      </c>
      <c r="CS271">
        <v>0</v>
      </c>
      <c r="CT271">
        <v>1</v>
      </c>
      <c r="CU271">
        <v>0</v>
      </c>
      <c r="CV271">
        <v>0</v>
      </c>
      <c r="CW271">
        <v>0</v>
      </c>
      <c r="CX271">
        <v>9</v>
      </c>
      <c r="CY271">
        <v>38</v>
      </c>
      <c r="CZ271">
        <v>28</v>
      </c>
      <c r="DA271">
        <v>2</v>
      </c>
      <c r="DB271">
        <v>7</v>
      </c>
      <c r="DC271">
        <v>0</v>
      </c>
      <c r="DD271">
        <v>0</v>
      </c>
      <c r="DE271">
        <v>1</v>
      </c>
      <c r="DF271">
        <v>0</v>
      </c>
      <c r="DG271">
        <v>0</v>
      </c>
      <c r="DH271">
        <v>0</v>
      </c>
      <c r="DI271">
        <v>0</v>
      </c>
      <c r="DJ271">
        <v>38</v>
      </c>
      <c r="DK271">
        <v>168</v>
      </c>
      <c r="DL271">
        <v>122</v>
      </c>
      <c r="DM271">
        <v>34</v>
      </c>
      <c r="DN271">
        <v>1</v>
      </c>
      <c r="DO271">
        <v>2</v>
      </c>
      <c r="DP271">
        <v>1</v>
      </c>
      <c r="DQ271">
        <v>1</v>
      </c>
      <c r="DR271">
        <v>1</v>
      </c>
      <c r="DS271">
        <v>2</v>
      </c>
      <c r="DT271">
        <v>3</v>
      </c>
      <c r="DU271">
        <v>1</v>
      </c>
      <c r="DV271">
        <v>168</v>
      </c>
      <c r="DW271">
        <v>23</v>
      </c>
      <c r="DX271">
        <v>2</v>
      </c>
      <c r="DY271">
        <v>11</v>
      </c>
      <c r="DZ271">
        <v>0</v>
      </c>
      <c r="EA271">
        <v>2</v>
      </c>
      <c r="EB271">
        <v>0</v>
      </c>
      <c r="EC271">
        <v>8</v>
      </c>
      <c r="ED271">
        <v>0</v>
      </c>
      <c r="EE271">
        <v>0</v>
      </c>
      <c r="EF271">
        <v>0</v>
      </c>
      <c r="EG271">
        <v>0</v>
      </c>
      <c r="EH271">
        <v>23</v>
      </c>
      <c r="EI271">
        <v>9</v>
      </c>
      <c r="EJ271">
        <v>1</v>
      </c>
      <c r="EK271">
        <v>5</v>
      </c>
      <c r="EL271">
        <v>1</v>
      </c>
      <c r="EM271">
        <v>0</v>
      </c>
      <c r="EN271">
        <v>1</v>
      </c>
      <c r="EO271">
        <v>1</v>
      </c>
      <c r="EP271">
        <v>0</v>
      </c>
      <c r="EQ271">
        <v>0</v>
      </c>
      <c r="ER271">
        <v>9</v>
      </c>
      <c r="ES271">
        <v>2</v>
      </c>
      <c r="ET271">
        <v>0</v>
      </c>
      <c r="EU271">
        <v>0</v>
      </c>
      <c r="EV271">
        <v>0</v>
      </c>
      <c r="EW271">
        <v>1</v>
      </c>
      <c r="EX271">
        <v>1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2</v>
      </c>
      <c r="FE271">
        <v>3</v>
      </c>
      <c r="FF271">
        <v>1</v>
      </c>
      <c r="FG271">
        <v>0</v>
      </c>
      <c r="FH271">
        <v>0</v>
      </c>
      <c r="FI271">
        <v>2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3</v>
      </c>
    </row>
    <row r="272" spans="1:172" ht="14.25">
      <c r="A272">
        <v>267</v>
      </c>
      <c r="B272" t="str">
        <f t="shared" si="51"/>
        <v>106301</v>
      </c>
      <c r="C272" t="str">
        <f t="shared" si="52"/>
        <v>m. Skierniewice</v>
      </c>
      <c r="D272" t="str">
        <f t="shared" si="53"/>
        <v>Skierniewice</v>
      </c>
      <c r="E272" t="str">
        <f t="shared" si="50"/>
        <v>łódzkie</v>
      </c>
      <c r="F272">
        <v>4</v>
      </c>
      <c r="G272" t="s">
        <v>47</v>
      </c>
      <c r="H272">
        <v>2075</v>
      </c>
      <c r="I272">
        <v>2075</v>
      </c>
      <c r="J272">
        <v>0</v>
      </c>
      <c r="K272">
        <v>1460</v>
      </c>
      <c r="L272">
        <v>913</v>
      </c>
      <c r="M272">
        <v>547</v>
      </c>
      <c r="N272">
        <v>547</v>
      </c>
      <c r="O272">
        <v>0</v>
      </c>
      <c r="P272">
        <v>0</v>
      </c>
      <c r="Q272">
        <v>2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547</v>
      </c>
      <c r="Z272">
        <v>0</v>
      </c>
      <c r="AA272">
        <v>0</v>
      </c>
      <c r="AB272">
        <v>547</v>
      </c>
      <c r="AC272">
        <v>13</v>
      </c>
      <c r="AD272">
        <v>534</v>
      </c>
      <c r="AE272">
        <v>8</v>
      </c>
      <c r="AF272">
        <v>1</v>
      </c>
      <c r="AG272">
        <v>2</v>
      </c>
      <c r="AH272">
        <v>0</v>
      </c>
      <c r="AI272">
        <v>0</v>
      </c>
      <c r="AJ272">
        <v>1</v>
      </c>
      <c r="AK272">
        <v>1</v>
      </c>
      <c r="AL272">
        <v>2</v>
      </c>
      <c r="AM272">
        <v>0</v>
      </c>
      <c r="AN272">
        <v>1</v>
      </c>
      <c r="AO272">
        <v>0</v>
      </c>
      <c r="AP272">
        <v>8</v>
      </c>
      <c r="AQ272">
        <v>3</v>
      </c>
      <c r="AR272">
        <v>0</v>
      </c>
      <c r="AS272">
        <v>0</v>
      </c>
      <c r="AT272">
        <v>0</v>
      </c>
      <c r="AU272">
        <v>0</v>
      </c>
      <c r="AV272">
        <v>2</v>
      </c>
      <c r="AW272">
        <v>0</v>
      </c>
      <c r="AX272">
        <v>0</v>
      </c>
      <c r="AY272">
        <v>0</v>
      </c>
      <c r="AZ272">
        <v>0</v>
      </c>
      <c r="BA272">
        <v>1</v>
      </c>
      <c r="BB272">
        <v>3</v>
      </c>
      <c r="BC272">
        <v>50</v>
      </c>
      <c r="BD272">
        <v>24</v>
      </c>
      <c r="BE272">
        <v>7</v>
      </c>
      <c r="BF272">
        <v>3</v>
      </c>
      <c r="BG272">
        <v>4</v>
      </c>
      <c r="BH272">
        <v>4</v>
      </c>
      <c r="BI272">
        <v>2</v>
      </c>
      <c r="BJ272">
        <v>0</v>
      </c>
      <c r="BK272">
        <v>0</v>
      </c>
      <c r="BL272">
        <v>2</v>
      </c>
      <c r="BM272">
        <v>4</v>
      </c>
      <c r="BN272">
        <v>50</v>
      </c>
      <c r="BO272">
        <v>206</v>
      </c>
      <c r="BP272">
        <v>162</v>
      </c>
      <c r="BQ272">
        <v>12</v>
      </c>
      <c r="BR272">
        <v>12</v>
      </c>
      <c r="BS272">
        <v>3</v>
      </c>
      <c r="BT272">
        <v>1</v>
      </c>
      <c r="BU272">
        <v>6</v>
      </c>
      <c r="BV272">
        <v>1</v>
      </c>
      <c r="BW272">
        <v>2</v>
      </c>
      <c r="BX272">
        <v>3</v>
      </c>
      <c r="BY272">
        <v>4</v>
      </c>
      <c r="BZ272">
        <v>206</v>
      </c>
      <c r="CA272">
        <v>11</v>
      </c>
      <c r="CB272">
        <v>3</v>
      </c>
      <c r="CC272">
        <v>0</v>
      </c>
      <c r="CD272">
        <v>2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6</v>
      </c>
      <c r="CK272">
        <v>0</v>
      </c>
      <c r="CL272">
        <v>11</v>
      </c>
      <c r="CM272">
        <v>6</v>
      </c>
      <c r="CN272">
        <v>3</v>
      </c>
      <c r="CO272">
        <v>0</v>
      </c>
      <c r="CP272">
        <v>0</v>
      </c>
      <c r="CQ272">
        <v>2</v>
      </c>
      <c r="CR272">
        <v>0</v>
      </c>
      <c r="CS272">
        <v>1</v>
      </c>
      <c r="CT272">
        <v>0</v>
      </c>
      <c r="CU272">
        <v>0</v>
      </c>
      <c r="CV272">
        <v>0</v>
      </c>
      <c r="CW272">
        <v>0</v>
      </c>
      <c r="CX272">
        <v>6</v>
      </c>
      <c r="CY272">
        <v>56</v>
      </c>
      <c r="CZ272">
        <v>38</v>
      </c>
      <c r="DA272">
        <v>4</v>
      </c>
      <c r="DB272">
        <v>8</v>
      </c>
      <c r="DC272">
        <v>1</v>
      </c>
      <c r="DD272">
        <v>0</v>
      </c>
      <c r="DE272">
        <v>0</v>
      </c>
      <c r="DF272">
        <v>1</v>
      </c>
      <c r="DG272">
        <v>2</v>
      </c>
      <c r="DH272">
        <v>0</v>
      </c>
      <c r="DI272">
        <v>2</v>
      </c>
      <c r="DJ272">
        <v>56</v>
      </c>
      <c r="DK272">
        <v>157</v>
      </c>
      <c r="DL272">
        <v>114</v>
      </c>
      <c r="DM272">
        <v>20</v>
      </c>
      <c r="DN272">
        <v>4</v>
      </c>
      <c r="DO272">
        <v>3</v>
      </c>
      <c r="DP272">
        <v>1</v>
      </c>
      <c r="DQ272">
        <v>1</v>
      </c>
      <c r="DR272">
        <v>1</v>
      </c>
      <c r="DS272">
        <v>2</v>
      </c>
      <c r="DT272">
        <v>3</v>
      </c>
      <c r="DU272">
        <v>8</v>
      </c>
      <c r="DV272">
        <v>157</v>
      </c>
      <c r="DW272">
        <v>23</v>
      </c>
      <c r="DX272">
        <v>1</v>
      </c>
      <c r="DY272">
        <v>12</v>
      </c>
      <c r="DZ272">
        <v>0</v>
      </c>
      <c r="EA272">
        <v>2</v>
      </c>
      <c r="EB272">
        <v>1</v>
      </c>
      <c r="EC272">
        <v>6</v>
      </c>
      <c r="ED272">
        <v>0</v>
      </c>
      <c r="EE272">
        <v>0</v>
      </c>
      <c r="EF272">
        <v>1</v>
      </c>
      <c r="EG272">
        <v>0</v>
      </c>
      <c r="EH272">
        <v>23</v>
      </c>
      <c r="EI272">
        <v>6</v>
      </c>
      <c r="EJ272">
        <v>1</v>
      </c>
      <c r="EK272">
        <v>3</v>
      </c>
      <c r="EL272">
        <v>0</v>
      </c>
      <c r="EM272">
        <v>1</v>
      </c>
      <c r="EN272">
        <v>0</v>
      </c>
      <c r="EO272">
        <v>1</v>
      </c>
      <c r="EP272">
        <v>0</v>
      </c>
      <c r="EQ272">
        <v>0</v>
      </c>
      <c r="ER272">
        <v>6</v>
      </c>
      <c r="ES272">
        <v>5</v>
      </c>
      <c r="ET272">
        <v>1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1</v>
      </c>
      <c r="FB272">
        <v>1</v>
      </c>
      <c r="FC272">
        <v>2</v>
      </c>
      <c r="FD272">
        <v>5</v>
      </c>
      <c r="FE272">
        <v>3</v>
      </c>
      <c r="FF272">
        <v>1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2</v>
      </c>
      <c r="FN272">
        <v>0</v>
      </c>
      <c r="FO272">
        <v>0</v>
      </c>
      <c r="FP272">
        <v>3</v>
      </c>
    </row>
    <row r="273" spans="1:172" ht="14.25">
      <c r="A273">
        <v>268</v>
      </c>
      <c r="B273" t="str">
        <f t="shared" si="51"/>
        <v>106301</v>
      </c>
      <c r="C273" t="str">
        <f t="shared" si="52"/>
        <v>m. Skierniewice</v>
      </c>
      <c r="D273" t="str">
        <f t="shared" si="53"/>
        <v>Skierniewice</v>
      </c>
      <c r="E273" t="str">
        <f t="shared" si="50"/>
        <v>łódzkie</v>
      </c>
      <c r="F273">
        <v>5</v>
      </c>
      <c r="G273" t="str">
        <f>"Zespół Szkół Integracyjnych, ul. Przerwy-Tetmajera 7, 96-100 Skierniewice"</f>
        <v>Zespół Szkół Integracyjnych, ul. Przerwy-Tetmajera 7, 96-100 Skierniewice</v>
      </c>
      <c r="H273">
        <v>1807</v>
      </c>
      <c r="I273">
        <v>1807</v>
      </c>
      <c r="J273">
        <v>0</v>
      </c>
      <c r="K273">
        <v>1281</v>
      </c>
      <c r="L273">
        <v>837</v>
      </c>
      <c r="M273">
        <v>444</v>
      </c>
      <c r="N273">
        <v>444</v>
      </c>
      <c r="O273">
        <v>0</v>
      </c>
      <c r="P273">
        <v>0</v>
      </c>
      <c r="Q273">
        <v>2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444</v>
      </c>
      <c r="Z273">
        <v>0</v>
      </c>
      <c r="AA273">
        <v>0</v>
      </c>
      <c r="AB273">
        <v>444</v>
      </c>
      <c r="AC273">
        <v>17</v>
      </c>
      <c r="AD273">
        <v>427</v>
      </c>
      <c r="AE273">
        <v>16</v>
      </c>
      <c r="AF273">
        <v>10</v>
      </c>
      <c r="AG273">
        <v>2</v>
      </c>
      <c r="AH273">
        <v>0</v>
      </c>
      <c r="AI273">
        <v>1</v>
      </c>
      <c r="AJ273">
        <v>0</v>
      </c>
      <c r="AK273">
        <v>0</v>
      </c>
      <c r="AL273">
        <v>2</v>
      </c>
      <c r="AM273">
        <v>0</v>
      </c>
      <c r="AN273">
        <v>1</v>
      </c>
      <c r="AO273">
        <v>0</v>
      </c>
      <c r="AP273">
        <v>16</v>
      </c>
      <c r="AQ273">
        <v>4</v>
      </c>
      <c r="AR273">
        <v>2</v>
      </c>
      <c r="AS273">
        <v>2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4</v>
      </c>
      <c r="BC273">
        <v>29</v>
      </c>
      <c r="BD273">
        <v>21</v>
      </c>
      <c r="BE273">
        <v>3</v>
      </c>
      <c r="BF273">
        <v>1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4</v>
      </c>
      <c r="BN273">
        <v>29</v>
      </c>
      <c r="BO273">
        <v>126</v>
      </c>
      <c r="BP273">
        <v>101</v>
      </c>
      <c r="BQ273">
        <v>7</v>
      </c>
      <c r="BR273">
        <v>2</v>
      </c>
      <c r="BS273">
        <v>3</v>
      </c>
      <c r="BT273">
        <v>0</v>
      </c>
      <c r="BU273">
        <v>0</v>
      </c>
      <c r="BV273">
        <v>0</v>
      </c>
      <c r="BW273">
        <v>4</v>
      </c>
      <c r="BX273">
        <v>3</v>
      </c>
      <c r="BY273">
        <v>6</v>
      </c>
      <c r="BZ273">
        <v>126</v>
      </c>
      <c r="CA273">
        <v>10</v>
      </c>
      <c r="CB273">
        <v>4</v>
      </c>
      <c r="CC273">
        <v>2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3</v>
      </c>
      <c r="CK273">
        <v>1</v>
      </c>
      <c r="CL273">
        <v>10</v>
      </c>
      <c r="CM273">
        <v>16</v>
      </c>
      <c r="CN273">
        <v>14</v>
      </c>
      <c r="CO273">
        <v>1</v>
      </c>
      <c r="CP273">
        <v>1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16</v>
      </c>
      <c r="CY273">
        <v>34</v>
      </c>
      <c r="CZ273">
        <v>23</v>
      </c>
      <c r="DA273">
        <v>1</v>
      </c>
      <c r="DB273">
        <v>4</v>
      </c>
      <c r="DC273">
        <v>1</v>
      </c>
      <c r="DD273">
        <v>1</v>
      </c>
      <c r="DE273">
        <v>1</v>
      </c>
      <c r="DF273">
        <v>0</v>
      </c>
      <c r="DG273">
        <v>1</v>
      </c>
      <c r="DH273">
        <v>0</v>
      </c>
      <c r="DI273">
        <v>2</v>
      </c>
      <c r="DJ273">
        <v>34</v>
      </c>
      <c r="DK273">
        <v>158</v>
      </c>
      <c r="DL273">
        <v>117</v>
      </c>
      <c r="DM273">
        <v>20</v>
      </c>
      <c r="DN273">
        <v>3</v>
      </c>
      <c r="DO273">
        <v>3</v>
      </c>
      <c r="DP273">
        <v>3</v>
      </c>
      <c r="DQ273">
        <v>1</v>
      </c>
      <c r="DR273">
        <v>2</v>
      </c>
      <c r="DS273">
        <v>5</v>
      </c>
      <c r="DT273">
        <v>2</v>
      </c>
      <c r="DU273">
        <v>2</v>
      </c>
      <c r="DV273">
        <v>158</v>
      </c>
      <c r="DW273">
        <v>29</v>
      </c>
      <c r="DX273">
        <v>1</v>
      </c>
      <c r="DY273">
        <v>12</v>
      </c>
      <c r="DZ273">
        <v>2</v>
      </c>
      <c r="EA273">
        <v>0</v>
      </c>
      <c r="EB273">
        <v>0</v>
      </c>
      <c r="EC273">
        <v>11</v>
      </c>
      <c r="ED273">
        <v>1</v>
      </c>
      <c r="EE273">
        <v>0</v>
      </c>
      <c r="EF273">
        <v>0</v>
      </c>
      <c r="EG273">
        <v>2</v>
      </c>
      <c r="EH273">
        <v>29</v>
      </c>
      <c r="EI273">
        <v>5</v>
      </c>
      <c r="EJ273">
        <v>1</v>
      </c>
      <c r="EK273">
        <v>3</v>
      </c>
      <c r="EL273">
        <v>0</v>
      </c>
      <c r="EM273">
        <v>0</v>
      </c>
      <c r="EN273">
        <v>0</v>
      </c>
      <c r="EO273">
        <v>0</v>
      </c>
      <c r="EP273">
        <v>1</v>
      </c>
      <c r="EQ273">
        <v>0</v>
      </c>
      <c r="ER273">
        <v>5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</row>
    <row r="274" spans="1:172" ht="14.25">
      <c r="A274">
        <v>269</v>
      </c>
      <c r="B274" t="str">
        <f t="shared" si="51"/>
        <v>106301</v>
      </c>
      <c r="C274" t="str">
        <f t="shared" si="52"/>
        <v>m. Skierniewice</v>
      </c>
      <c r="D274" t="str">
        <f t="shared" si="53"/>
        <v>Skierniewice</v>
      </c>
      <c r="E274" t="str">
        <f t="shared" si="50"/>
        <v>łódzkie</v>
      </c>
      <c r="F274">
        <v>6</v>
      </c>
      <c r="G274" t="str">
        <f>"Zespół Szkół Integracyjnych, ul. Przerwy-Tetmajera 7, 96-100 Skierniewice"</f>
        <v>Zespół Szkół Integracyjnych, ul. Przerwy-Tetmajera 7, 96-100 Skierniewice</v>
      </c>
      <c r="H274">
        <v>2018</v>
      </c>
      <c r="I274">
        <v>2018</v>
      </c>
      <c r="J274">
        <v>0</v>
      </c>
      <c r="K274">
        <v>1420</v>
      </c>
      <c r="L274">
        <v>971</v>
      </c>
      <c r="M274">
        <v>449</v>
      </c>
      <c r="N274">
        <v>449</v>
      </c>
      <c r="O274">
        <v>0</v>
      </c>
      <c r="P274">
        <v>0</v>
      </c>
      <c r="Q274">
        <v>2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449</v>
      </c>
      <c r="Z274">
        <v>0</v>
      </c>
      <c r="AA274">
        <v>0</v>
      </c>
      <c r="AB274">
        <v>449</v>
      </c>
      <c r="AC274">
        <v>22</v>
      </c>
      <c r="AD274">
        <v>427</v>
      </c>
      <c r="AE274">
        <v>9</v>
      </c>
      <c r="AF274">
        <v>5</v>
      </c>
      <c r="AG274">
        <v>1</v>
      </c>
      <c r="AH274">
        <v>0</v>
      </c>
      <c r="AI274">
        <v>2</v>
      </c>
      <c r="AJ274">
        <v>1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9</v>
      </c>
      <c r="AQ274">
        <v>2</v>
      </c>
      <c r="AR274">
        <v>1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1</v>
      </c>
      <c r="BA274">
        <v>0</v>
      </c>
      <c r="BB274">
        <v>2</v>
      </c>
      <c r="BC274">
        <v>37</v>
      </c>
      <c r="BD274">
        <v>14</v>
      </c>
      <c r="BE274">
        <v>5</v>
      </c>
      <c r="BF274">
        <v>3</v>
      </c>
      <c r="BG274">
        <v>3</v>
      </c>
      <c r="BH274">
        <v>0</v>
      </c>
      <c r="BI274">
        <v>1</v>
      </c>
      <c r="BJ274">
        <v>0</v>
      </c>
      <c r="BK274">
        <v>0</v>
      </c>
      <c r="BL274">
        <v>3</v>
      </c>
      <c r="BM274">
        <v>8</v>
      </c>
      <c r="BN274">
        <v>37</v>
      </c>
      <c r="BO274">
        <v>146</v>
      </c>
      <c r="BP274">
        <v>125</v>
      </c>
      <c r="BQ274">
        <v>9</v>
      </c>
      <c r="BR274">
        <v>5</v>
      </c>
      <c r="BS274">
        <v>4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3</v>
      </c>
      <c r="BZ274">
        <v>146</v>
      </c>
      <c r="CA274">
        <v>11</v>
      </c>
      <c r="CB274">
        <v>5</v>
      </c>
      <c r="CC274">
        <v>1</v>
      </c>
      <c r="CD274">
        <v>1</v>
      </c>
      <c r="CE274">
        <v>0</v>
      </c>
      <c r="CF274">
        <v>0</v>
      </c>
      <c r="CG274">
        <v>0</v>
      </c>
      <c r="CH274">
        <v>2</v>
      </c>
      <c r="CI274">
        <v>0</v>
      </c>
      <c r="CJ274">
        <v>2</v>
      </c>
      <c r="CK274">
        <v>0</v>
      </c>
      <c r="CL274">
        <v>11</v>
      </c>
      <c r="CM274">
        <v>5</v>
      </c>
      <c r="CN274">
        <v>2</v>
      </c>
      <c r="CO274">
        <v>1</v>
      </c>
      <c r="CP274">
        <v>0</v>
      </c>
      <c r="CQ274">
        <v>0</v>
      </c>
      <c r="CR274">
        <v>0</v>
      </c>
      <c r="CS274">
        <v>1</v>
      </c>
      <c r="CT274">
        <v>0</v>
      </c>
      <c r="CU274">
        <v>0</v>
      </c>
      <c r="CV274">
        <v>0</v>
      </c>
      <c r="CW274">
        <v>1</v>
      </c>
      <c r="CX274">
        <v>5</v>
      </c>
      <c r="CY274">
        <v>47</v>
      </c>
      <c r="CZ274">
        <v>27</v>
      </c>
      <c r="DA274">
        <v>3</v>
      </c>
      <c r="DB274">
        <v>10</v>
      </c>
      <c r="DC274">
        <v>0</v>
      </c>
      <c r="DD274">
        <v>1</v>
      </c>
      <c r="DE274">
        <v>2</v>
      </c>
      <c r="DF274">
        <v>0</v>
      </c>
      <c r="DG274">
        <v>1</v>
      </c>
      <c r="DH274">
        <v>0</v>
      </c>
      <c r="DI274">
        <v>3</v>
      </c>
      <c r="DJ274">
        <v>47</v>
      </c>
      <c r="DK274">
        <v>135</v>
      </c>
      <c r="DL274">
        <v>86</v>
      </c>
      <c r="DM274">
        <v>28</v>
      </c>
      <c r="DN274">
        <v>4</v>
      </c>
      <c r="DO274">
        <v>3</v>
      </c>
      <c r="DP274">
        <v>4</v>
      </c>
      <c r="DQ274">
        <v>1</v>
      </c>
      <c r="DR274">
        <v>0</v>
      </c>
      <c r="DS274">
        <v>4</v>
      </c>
      <c r="DT274">
        <v>3</v>
      </c>
      <c r="DU274">
        <v>2</v>
      </c>
      <c r="DV274">
        <v>135</v>
      </c>
      <c r="DW274">
        <v>26</v>
      </c>
      <c r="DX274">
        <v>1</v>
      </c>
      <c r="DY274">
        <v>12</v>
      </c>
      <c r="DZ274">
        <v>0</v>
      </c>
      <c r="EA274">
        <v>0</v>
      </c>
      <c r="EB274">
        <v>0</v>
      </c>
      <c r="EC274">
        <v>13</v>
      </c>
      <c r="ED274">
        <v>0</v>
      </c>
      <c r="EE274">
        <v>0</v>
      </c>
      <c r="EF274">
        <v>0</v>
      </c>
      <c r="EG274">
        <v>0</v>
      </c>
      <c r="EH274">
        <v>26</v>
      </c>
      <c r="EI274">
        <v>6</v>
      </c>
      <c r="EJ274">
        <v>3</v>
      </c>
      <c r="EK274">
        <v>2</v>
      </c>
      <c r="EL274">
        <v>0</v>
      </c>
      <c r="EM274">
        <v>0</v>
      </c>
      <c r="EN274">
        <v>0</v>
      </c>
      <c r="EO274">
        <v>1</v>
      </c>
      <c r="EP274">
        <v>0</v>
      </c>
      <c r="EQ274">
        <v>0</v>
      </c>
      <c r="ER274">
        <v>6</v>
      </c>
      <c r="ES274">
        <v>1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1</v>
      </c>
      <c r="FB274">
        <v>0</v>
      </c>
      <c r="FC274">
        <v>0</v>
      </c>
      <c r="FD274">
        <v>1</v>
      </c>
      <c r="FE274">
        <v>2</v>
      </c>
      <c r="FF274">
        <v>0</v>
      </c>
      <c r="FG274">
        <v>1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1</v>
      </c>
      <c r="FP274">
        <v>2</v>
      </c>
    </row>
    <row r="275" spans="1:172" ht="14.25">
      <c r="A275">
        <v>270</v>
      </c>
      <c r="B275" t="str">
        <f t="shared" si="51"/>
        <v>106301</v>
      </c>
      <c r="C275" t="str">
        <f t="shared" si="52"/>
        <v>m. Skierniewice</v>
      </c>
      <c r="D275" t="str">
        <f t="shared" si="53"/>
        <v>Skierniewice</v>
      </c>
      <c r="E275" t="str">
        <f t="shared" si="50"/>
        <v>łódzkie</v>
      </c>
      <c r="F275">
        <v>7</v>
      </c>
      <c r="G275" t="str">
        <f>"Zespół Szkół Zawodowych Nr 3, ul. Działkowa 10, 96-100 Skierniewice"</f>
        <v>Zespół Szkół Zawodowych Nr 3, ul. Działkowa 10, 96-100 Skierniewice</v>
      </c>
      <c r="H275">
        <v>704</v>
      </c>
      <c r="I275">
        <v>704</v>
      </c>
      <c r="J275">
        <v>0</v>
      </c>
      <c r="K275">
        <v>490</v>
      </c>
      <c r="L275">
        <v>263</v>
      </c>
      <c r="M275">
        <v>227</v>
      </c>
      <c r="N275">
        <v>227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227</v>
      </c>
      <c r="Z275">
        <v>0</v>
      </c>
      <c r="AA275">
        <v>0</v>
      </c>
      <c r="AB275">
        <v>227</v>
      </c>
      <c r="AC275">
        <v>0</v>
      </c>
      <c r="AD275">
        <v>227</v>
      </c>
      <c r="AE275">
        <v>4</v>
      </c>
      <c r="AF275">
        <v>1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3</v>
      </c>
      <c r="AO275">
        <v>0</v>
      </c>
      <c r="AP275">
        <v>4</v>
      </c>
      <c r="AQ275">
        <v>7</v>
      </c>
      <c r="AR275">
        <v>4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2</v>
      </c>
      <c r="BA275">
        <v>1</v>
      </c>
      <c r="BB275">
        <v>7</v>
      </c>
      <c r="BC275">
        <v>11</v>
      </c>
      <c r="BD275">
        <v>4</v>
      </c>
      <c r="BE275">
        <v>0</v>
      </c>
      <c r="BF275">
        <v>0</v>
      </c>
      <c r="BG275">
        <v>0</v>
      </c>
      <c r="BH275">
        <v>3</v>
      </c>
      <c r="BI275">
        <v>2</v>
      </c>
      <c r="BJ275">
        <v>0</v>
      </c>
      <c r="BK275">
        <v>0</v>
      </c>
      <c r="BL275">
        <v>0</v>
      </c>
      <c r="BM275">
        <v>2</v>
      </c>
      <c r="BN275">
        <v>11</v>
      </c>
      <c r="BO275">
        <v>64</v>
      </c>
      <c r="BP275">
        <v>49</v>
      </c>
      <c r="BQ275">
        <v>4</v>
      </c>
      <c r="BR275">
        <v>6</v>
      </c>
      <c r="BS275">
        <v>1</v>
      </c>
      <c r="BT275">
        <v>2</v>
      </c>
      <c r="BU275">
        <v>0</v>
      </c>
      <c r="BV275">
        <v>0</v>
      </c>
      <c r="BW275">
        <v>0</v>
      </c>
      <c r="BX275">
        <v>0</v>
      </c>
      <c r="BY275">
        <v>2</v>
      </c>
      <c r="BZ275">
        <v>64</v>
      </c>
      <c r="CA275">
        <v>11</v>
      </c>
      <c r="CB275">
        <v>2</v>
      </c>
      <c r="CC275">
        <v>1</v>
      </c>
      <c r="CD275">
        <v>0</v>
      </c>
      <c r="CE275">
        <v>1</v>
      </c>
      <c r="CF275">
        <v>0</v>
      </c>
      <c r="CG275">
        <v>0</v>
      </c>
      <c r="CH275">
        <v>0</v>
      </c>
      <c r="CI275">
        <v>0</v>
      </c>
      <c r="CJ275">
        <v>7</v>
      </c>
      <c r="CK275">
        <v>0</v>
      </c>
      <c r="CL275">
        <v>11</v>
      </c>
      <c r="CM275">
        <v>6</v>
      </c>
      <c r="CN275">
        <v>4</v>
      </c>
      <c r="CO275">
        <v>0</v>
      </c>
      <c r="CP275">
        <v>0</v>
      </c>
      <c r="CQ275">
        <v>1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1</v>
      </c>
      <c r="CX275">
        <v>6</v>
      </c>
      <c r="CY275">
        <v>24</v>
      </c>
      <c r="CZ275">
        <v>12</v>
      </c>
      <c r="DA275">
        <v>0</v>
      </c>
      <c r="DB275">
        <v>8</v>
      </c>
      <c r="DC275">
        <v>1</v>
      </c>
      <c r="DD275">
        <v>0</v>
      </c>
      <c r="DE275">
        <v>0</v>
      </c>
      <c r="DF275">
        <v>2</v>
      </c>
      <c r="DG275">
        <v>1</v>
      </c>
      <c r="DH275">
        <v>0</v>
      </c>
      <c r="DI275">
        <v>0</v>
      </c>
      <c r="DJ275">
        <v>24</v>
      </c>
      <c r="DK275">
        <v>83</v>
      </c>
      <c r="DL275">
        <v>53</v>
      </c>
      <c r="DM275">
        <v>16</v>
      </c>
      <c r="DN275">
        <v>5</v>
      </c>
      <c r="DO275">
        <v>2</v>
      </c>
      <c r="DP275">
        <v>1</v>
      </c>
      <c r="DQ275">
        <v>0</v>
      </c>
      <c r="DR275">
        <v>0</v>
      </c>
      <c r="DS275">
        <v>3</v>
      </c>
      <c r="DT275">
        <v>2</v>
      </c>
      <c r="DU275">
        <v>1</v>
      </c>
      <c r="DV275">
        <v>83</v>
      </c>
      <c r="DW275">
        <v>16</v>
      </c>
      <c r="DX275">
        <v>0</v>
      </c>
      <c r="DY275">
        <v>10</v>
      </c>
      <c r="DZ275">
        <v>0</v>
      </c>
      <c r="EA275">
        <v>0</v>
      </c>
      <c r="EB275">
        <v>0</v>
      </c>
      <c r="EC275">
        <v>4</v>
      </c>
      <c r="ED275">
        <v>1</v>
      </c>
      <c r="EE275">
        <v>0</v>
      </c>
      <c r="EF275">
        <v>0</v>
      </c>
      <c r="EG275">
        <v>1</v>
      </c>
      <c r="EH275">
        <v>16</v>
      </c>
      <c r="EI275">
        <v>1</v>
      </c>
      <c r="EJ275">
        <v>1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1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</row>
    <row r="276" spans="1:172" ht="14.25">
      <c r="A276">
        <v>271</v>
      </c>
      <c r="B276" t="str">
        <f t="shared" si="51"/>
        <v>106301</v>
      </c>
      <c r="C276" t="str">
        <f t="shared" si="52"/>
        <v>m. Skierniewice</v>
      </c>
      <c r="D276" t="str">
        <f t="shared" si="53"/>
        <v>Skierniewice</v>
      </c>
      <c r="E276" t="str">
        <f t="shared" si="50"/>
        <v>łódzkie</v>
      </c>
      <c r="F276">
        <v>8</v>
      </c>
      <c r="G276" t="str">
        <f>"Zespół Szkół Zawodowych Nr 2, ul. Pomologiczna 15, 96-100 Skierniewice"</f>
        <v>Zespół Szkół Zawodowych Nr 2, ul. Pomologiczna 15, 96-100 Skierniewice</v>
      </c>
      <c r="H276">
        <v>1980</v>
      </c>
      <c r="I276">
        <v>1977</v>
      </c>
      <c r="J276">
        <v>3</v>
      </c>
      <c r="K276">
        <v>1401</v>
      </c>
      <c r="L276">
        <v>875</v>
      </c>
      <c r="M276">
        <v>526</v>
      </c>
      <c r="N276">
        <v>526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526</v>
      </c>
      <c r="Z276">
        <v>0</v>
      </c>
      <c r="AA276">
        <v>0</v>
      </c>
      <c r="AB276">
        <v>526</v>
      </c>
      <c r="AC276">
        <v>12</v>
      </c>
      <c r="AD276">
        <v>514</v>
      </c>
      <c r="AE276">
        <v>8</v>
      </c>
      <c r="AF276">
        <v>3</v>
      </c>
      <c r="AG276">
        <v>0</v>
      </c>
      <c r="AH276">
        <v>3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2</v>
      </c>
      <c r="AO276">
        <v>0</v>
      </c>
      <c r="AP276">
        <v>8</v>
      </c>
      <c r="AQ276">
        <v>11</v>
      </c>
      <c r="AR276">
        <v>3</v>
      </c>
      <c r="AS276">
        <v>0</v>
      </c>
      <c r="AT276">
        <v>0</v>
      </c>
      <c r="AU276">
        <v>1</v>
      </c>
      <c r="AV276">
        <v>2</v>
      </c>
      <c r="AW276">
        <v>0</v>
      </c>
      <c r="AX276">
        <v>2</v>
      </c>
      <c r="AY276">
        <v>0</v>
      </c>
      <c r="AZ276">
        <v>1</v>
      </c>
      <c r="BA276">
        <v>2</v>
      </c>
      <c r="BB276">
        <v>11</v>
      </c>
      <c r="BC276">
        <v>29</v>
      </c>
      <c r="BD276">
        <v>16</v>
      </c>
      <c r="BE276">
        <v>4</v>
      </c>
      <c r="BF276">
        <v>3</v>
      </c>
      <c r="BG276">
        <v>0</v>
      </c>
      <c r="BH276">
        <v>0</v>
      </c>
      <c r="BI276">
        <v>0</v>
      </c>
      <c r="BJ276">
        <v>1</v>
      </c>
      <c r="BK276">
        <v>0</v>
      </c>
      <c r="BL276">
        <v>1</v>
      </c>
      <c r="BM276">
        <v>4</v>
      </c>
      <c r="BN276">
        <v>29</v>
      </c>
      <c r="BO276">
        <v>231</v>
      </c>
      <c r="BP276">
        <v>202</v>
      </c>
      <c r="BQ276">
        <v>7</v>
      </c>
      <c r="BR276">
        <v>10</v>
      </c>
      <c r="BS276">
        <v>1</v>
      </c>
      <c r="BT276">
        <v>2</v>
      </c>
      <c r="BU276">
        <v>4</v>
      </c>
      <c r="BV276">
        <v>0</v>
      </c>
      <c r="BW276">
        <v>0</v>
      </c>
      <c r="BX276">
        <v>2</v>
      </c>
      <c r="BY276">
        <v>3</v>
      </c>
      <c r="BZ276">
        <v>231</v>
      </c>
      <c r="CA276">
        <v>10</v>
      </c>
      <c r="CB276">
        <v>1</v>
      </c>
      <c r="CC276">
        <v>3</v>
      </c>
      <c r="CD276">
        <v>1</v>
      </c>
      <c r="CE276">
        <v>0</v>
      </c>
      <c r="CF276">
        <v>1</v>
      </c>
      <c r="CG276">
        <v>0</v>
      </c>
      <c r="CH276">
        <v>1</v>
      </c>
      <c r="CI276">
        <v>0</v>
      </c>
      <c r="CJ276">
        <v>1</v>
      </c>
      <c r="CK276">
        <v>2</v>
      </c>
      <c r="CL276">
        <v>10</v>
      </c>
      <c r="CM276">
        <v>10</v>
      </c>
      <c r="CN276">
        <v>10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10</v>
      </c>
      <c r="CY276">
        <v>28</v>
      </c>
      <c r="CZ276">
        <v>12</v>
      </c>
      <c r="DA276">
        <v>2</v>
      </c>
      <c r="DB276">
        <v>11</v>
      </c>
      <c r="DC276">
        <v>0</v>
      </c>
      <c r="DD276">
        <v>2</v>
      </c>
      <c r="DE276">
        <v>0</v>
      </c>
      <c r="DF276">
        <v>0</v>
      </c>
      <c r="DG276">
        <v>0</v>
      </c>
      <c r="DH276">
        <v>1</v>
      </c>
      <c r="DI276">
        <v>0</v>
      </c>
      <c r="DJ276">
        <v>28</v>
      </c>
      <c r="DK276">
        <v>170</v>
      </c>
      <c r="DL276">
        <v>119</v>
      </c>
      <c r="DM276">
        <v>34</v>
      </c>
      <c r="DN276">
        <v>3</v>
      </c>
      <c r="DO276">
        <v>2</v>
      </c>
      <c r="DP276">
        <v>1</v>
      </c>
      <c r="DQ276">
        <v>2</v>
      </c>
      <c r="DR276">
        <v>1</v>
      </c>
      <c r="DS276">
        <v>2</v>
      </c>
      <c r="DT276">
        <v>2</v>
      </c>
      <c r="DU276">
        <v>4</v>
      </c>
      <c r="DV276">
        <v>170</v>
      </c>
      <c r="DW276">
        <v>11</v>
      </c>
      <c r="DX276">
        <v>2</v>
      </c>
      <c r="DY276">
        <v>2</v>
      </c>
      <c r="DZ276">
        <v>0</v>
      </c>
      <c r="EA276">
        <v>0</v>
      </c>
      <c r="EB276">
        <v>2</v>
      </c>
      <c r="EC276">
        <v>3</v>
      </c>
      <c r="ED276">
        <v>1</v>
      </c>
      <c r="EE276">
        <v>1</v>
      </c>
      <c r="EF276">
        <v>0</v>
      </c>
      <c r="EG276">
        <v>0</v>
      </c>
      <c r="EH276">
        <v>11</v>
      </c>
      <c r="EI276">
        <v>3</v>
      </c>
      <c r="EJ276">
        <v>2</v>
      </c>
      <c r="EK276">
        <v>1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3</v>
      </c>
      <c r="ES276">
        <v>2</v>
      </c>
      <c r="ET276">
        <v>0</v>
      </c>
      <c r="EU276">
        <v>1</v>
      </c>
      <c r="EV276">
        <v>0</v>
      </c>
      <c r="EW276">
        <v>1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2</v>
      </c>
      <c r="FE276">
        <v>1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1</v>
      </c>
      <c r="FO276">
        <v>0</v>
      </c>
      <c r="FP276">
        <v>1</v>
      </c>
    </row>
    <row r="277" spans="1:172" ht="14.25">
      <c r="A277">
        <v>272</v>
      </c>
      <c r="B277" t="str">
        <f t="shared" si="51"/>
        <v>106301</v>
      </c>
      <c r="C277" t="str">
        <f t="shared" si="52"/>
        <v>m. Skierniewice</v>
      </c>
      <c r="D277" t="str">
        <f t="shared" si="53"/>
        <v>Skierniewice</v>
      </c>
      <c r="E277" t="str">
        <f t="shared" si="50"/>
        <v>łódzkie</v>
      </c>
      <c r="F277">
        <v>9</v>
      </c>
      <c r="G277" t="str">
        <f>"Szkoła Podstawowa Nr 4, ul. Jasna 30, 96-100 Skierniewice"</f>
        <v>Szkoła Podstawowa Nr 4, ul. Jasna 30, 96-100 Skierniewice</v>
      </c>
      <c r="H277">
        <v>1552</v>
      </c>
      <c r="I277">
        <v>1551</v>
      </c>
      <c r="J277">
        <v>1</v>
      </c>
      <c r="K277">
        <v>1090</v>
      </c>
      <c r="L277">
        <v>598</v>
      </c>
      <c r="M277">
        <v>492</v>
      </c>
      <c r="N277">
        <v>491</v>
      </c>
      <c r="O277">
        <v>1</v>
      </c>
      <c r="P277">
        <v>0</v>
      </c>
      <c r="Q277">
        <v>4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492</v>
      </c>
      <c r="Z277">
        <v>0</v>
      </c>
      <c r="AA277">
        <v>0</v>
      </c>
      <c r="AB277">
        <v>492</v>
      </c>
      <c r="AC277">
        <v>15</v>
      </c>
      <c r="AD277">
        <v>477</v>
      </c>
      <c r="AE277">
        <v>11</v>
      </c>
      <c r="AF277">
        <v>6</v>
      </c>
      <c r="AG277">
        <v>3</v>
      </c>
      <c r="AH277">
        <v>1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1</v>
      </c>
      <c r="AO277">
        <v>0</v>
      </c>
      <c r="AP277">
        <v>11</v>
      </c>
      <c r="AQ277">
        <v>7</v>
      </c>
      <c r="AR277">
        <v>5</v>
      </c>
      <c r="AS277">
        <v>1</v>
      </c>
      <c r="AT277">
        <v>0</v>
      </c>
      <c r="AU277">
        <v>0</v>
      </c>
      <c r="AV277">
        <v>0</v>
      </c>
      <c r="AW277">
        <v>0</v>
      </c>
      <c r="AX277">
        <v>1</v>
      </c>
      <c r="AY277">
        <v>0</v>
      </c>
      <c r="AZ277">
        <v>0</v>
      </c>
      <c r="BA277">
        <v>0</v>
      </c>
      <c r="BB277">
        <v>7</v>
      </c>
      <c r="BC277">
        <v>23</v>
      </c>
      <c r="BD277">
        <v>14</v>
      </c>
      <c r="BE277">
        <v>5</v>
      </c>
      <c r="BF277">
        <v>0</v>
      </c>
      <c r="BG277">
        <v>0</v>
      </c>
      <c r="BH277">
        <v>2</v>
      </c>
      <c r="BI277">
        <v>0</v>
      </c>
      <c r="BJ277">
        <v>0</v>
      </c>
      <c r="BK277">
        <v>2</v>
      </c>
      <c r="BL277">
        <v>0</v>
      </c>
      <c r="BM277">
        <v>0</v>
      </c>
      <c r="BN277">
        <v>23</v>
      </c>
      <c r="BO277">
        <v>155</v>
      </c>
      <c r="BP277">
        <v>131</v>
      </c>
      <c r="BQ277">
        <v>3</v>
      </c>
      <c r="BR277">
        <v>5</v>
      </c>
      <c r="BS277">
        <v>3</v>
      </c>
      <c r="BT277">
        <v>3</v>
      </c>
      <c r="BU277">
        <v>4</v>
      </c>
      <c r="BV277">
        <v>1</v>
      </c>
      <c r="BW277">
        <v>3</v>
      </c>
      <c r="BX277">
        <v>1</v>
      </c>
      <c r="BY277">
        <v>1</v>
      </c>
      <c r="BZ277">
        <v>155</v>
      </c>
      <c r="CA277">
        <v>12</v>
      </c>
      <c r="CB277">
        <v>1</v>
      </c>
      <c r="CC277">
        <v>2</v>
      </c>
      <c r="CD277">
        <v>0</v>
      </c>
      <c r="CE277">
        <v>1</v>
      </c>
      <c r="CF277">
        <v>0</v>
      </c>
      <c r="CG277">
        <v>0</v>
      </c>
      <c r="CH277">
        <v>1</v>
      </c>
      <c r="CI277">
        <v>0</v>
      </c>
      <c r="CJ277">
        <v>7</v>
      </c>
      <c r="CK277">
        <v>0</v>
      </c>
      <c r="CL277">
        <v>12</v>
      </c>
      <c r="CM277">
        <v>9</v>
      </c>
      <c r="CN277">
        <v>3</v>
      </c>
      <c r="CO277">
        <v>1</v>
      </c>
      <c r="CP277">
        <v>0</v>
      </c>
      <c r="CQ277">
        <v>4</v>
      </c>
      <c r="CR277">
        <v>0</v>
      </c>
      <c r="CS277">
        <v>0</v>
      </c>
      <c r="CT277">
        <v>0</v>
      </c>
      <c r="CU277">
        <v>0</v>
      </c>
      <c r="CV277">
        <v>1</v>
      </c>
      <c r="CW277">
        <v>0</v>
      </c>
      <c r="CX277">
        <v>9</v>
      </c>
      <c r="CY277">
        <v>57</v>
      </c>
      <c r="CZ277">
        <v>39</v>
      </c>
      <c r="DA277">
        <v>1</v>
      </c>
      <c r="DB277">
        <v>13</v>
      </c>
      <c r="DC277">
        <v>1</v>
      </c>
      <c r="DD277">
        <v>0</v>
      </c>
      <c r="DE277">
        <v>0</v>
      </c>
      <c r="DF277">
        <v>0</v>
      </c>
      <c r="DG277">
        <v>1</v>
      </c>
      <c r="DH277">
        <v>1</v>
      </c>
      <c r="DI277">
        <v>1</v>
      </c>
      <c r="DJ277">
        <v>57</v>
      </c>
      <c r="DK277">
        <v>163</v>
      </c>
      <c r="DL277">
        <v>115</v>
      </c>
      <c r="DM277">
        <v>34</v>
      </c>
      <c r="DN277">
        <v>2</v>
      </c>
      <c r="DO277">
        <v>1</v>
      </c>
      <c r="DP277">
        <v>3</v>
      </c>
      <c r="DQ277">
        <v>1</v>
      </c>
      <c r="DR277">
        <v>1</v>
      </c>
      <c r="DS277">
        <v>1</v>
      </c>
      <c r="DT277">
        <v>3</v>
      </c>
      <c r="DU277">
        <v>2</v>
      </c>
      <c r="DV277">
        <v>163</v>
      </c>
      <c r="DW277">
        <v>25</v>
      </c>
      <c r="DX277">
        <v>3</v>
      </c>
      <c r="DY277">
        <v>14</v>
      </c>
      <c r="DZ277">
        <v>0</v>
      </c>
      <c r="EA277">
        <v>2</v>
      </c>
      <c r="EB277">
        <v>0</v>
      </c>
      <c r="EC277">
        <v>5</v>
      </c>
      <c r="ED277">
        <v>0</v>
      </c>
      <c r="EE277">
        <v>0</v>
      </c>
      <c r="EF277">
        <v>1</v>
      </c>
      <c r="EG277">
        <v>0</v>
      </c>
      <c r="EH277">
        <v>25</v>
      </c>
      <c r="EI277">
        <v>13</v>
      </c>
      <c r="EJ277">
        <v>5</v>
      </c>
      <c r="EK277">
        <v>6</v>
      </c>
      <c r="EL277">
        <v>1</v>
      </c>
      <c r="EM277">
        <v>0</v>
      </c>
      <c r="EN277">
        <v>0</v>
      </c>
      <c r="EO277">
        <v>0</v>
      </c>
      <c r="EP277">
        <v>1</v>
      </c>
      <c r="EQ277">
        <v>0</v>
      </c>
      <c r="ER277">
        <v>13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2</v>
      </c>
      <c r="FF277">
        <v>1</v>
      </c>
      <c r="FG277">
        <v>0</v>
      </c>
      <c r="FH277">
        <v>0</v>
      </c>
      <c r="FI277">
        <v>0</v>
      </c>
      <c r="FJ277">
        <v>1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2</v>
      </c>
    </row>
    <row r="278" spans="1:172" ht="14.25">
      <c r="A278">
        <v>273</v>
      </c>
      <c r="B278" t="str">
        <f t="shared" si="51"/>
        <v>106301</v>
      </c>
      <c r="C278" t="str">
        <f t="shared" si="52"/>
        <v>m. Skierniewice</v>
      </c>
      <c r="D278" t="str">
        <f t="shared" si="53"/>
        <v>Skierniewice</v>
      </c>
      <c r="E278" t="str">
        <f t="shared" si="50"/>
        <v>łódzkie</v>
      </c>
      <c r="F278">
        <v>10</v>
      </c>
      <c r="G278" t="str">
        <f>"Szkoła Podstawowa Nr 7, ul. Św. Maksymiliana Kolbe 30, 96-100 Skierniewice"</f>
        <v>Szkoła Podstawowa Nr 7, ul. Św. Maksymiliana Kolbe 30, 96-100 Skierniewice</v>
      </c>
      <c r="H278">
        <v>1780</v>
      </c>
      <c r="I278">
        <v>1780</v>
      </c>
      <c r="J278">
        <v>0</v>
      </c>
      <c r="K278">
        <v>1260</v>
      </c>
      <c r="L278">
        <v>901</v>
      </c>
      <c r="M278">
        <v>359</v>
      </c>
      <c r="N278">
        <v>359</v>
      </c>
      <c r="O278">
        <v>0</v>
      </c>
      <c r="P278">
        <v>0</v>
      </c>
      <c r="Q278">
        <v>2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359</v>
      </c>
      <c r="Z278">
        <v>0</v>
      </c>
      <c r="AA278">
        <v>0</v>
      </c>
      <c r="AB278">
        <v>359</v>
      </c>
      <c r="AC278">
        <v>8</v>
      </c>
      <c r="AD278">
        <v>351</v>
      </c>
      <c r="AE278">
        <v>9</v>
      </c>
      <c r="AF278">
        <v>3</v>
      </c>
      <c r="AG278">
        <v>1</v>
      </c>
      <c r="AH278">
        <v>3</v>
      </c>
      <c r="AI278">
        <v>0</v>
      </c>
      <c r="AJ278">
        <v>0</v>
      </c>
      <c r="AK278">
        <v>0</v>
      </c>
      <c r="AL278">
        <v>1</v>
      </c>
      <c r="AM278">
        <v>0</v>
      </c>
      <c r="AN278">
        <v>1</v>
      </c>
      <c r="AO278">
        <v>0</v>
      </c>
      <c r="AP278">
        <v>9</v>
      </c>
      <c r="AQ278">
        <v>9</v>
      </c>
      <c r="AR278">
        <v>3</v>
      </c>
      <c r="AS278">
        <v>1</v>
      </c>
      <c r="AT278">
        <v>0</v>
      </c>
      <c r="AU278">
        <v>1</v>
      </c>
      <c r="AV278">
        <v>1</v>
      </c>
      <c r="AW278">
        <v>0</v>
      </c>
      <c r="AX278">
        <v>0</v>
      </c>
      <c r="AY278">
        <v>0</v>
      </c>
      <c r="AZ278">
        <v>3</v>
      </c>
      <c r="BA278">
        <v>0</v>
      </c>
      <c r="BB278">
        <v>9</v>
      </c>
      <c r="BC278">
        <v>16</v>
      </c>
      <c r="BD278">
        <v>9</v>
      </c>
      <c r="BE278">
        <v>1</v>
      </c>
      <c r="BF278">
        <v>0</v>
      </c>
      <c r="BG278">
        <v>1</v>
      </c>
      <c r="BH278">
        <v>0</v>
      </c>
      <c r="BI278">
        <v>0</v>
      </c>
      <c r="BJ278">
        <v>0</v>
      </c>
      <c r="BK278">
        <v>1</v>
      </c>
      <c r="BL278">
        <v>1</v>
      </c>
      <c r="BM278">
        <v>3</v>
      </c>
      <c r="BN278">
        <v>16</v>
      </c>
      <c r="BO278">
        <v>136</v>
      </c>
      <c r="BP278">
        <v>109</v>
      </c>
      <c r="BQ278">
        <v>9</v>
      </c>
      <c r="BR278">
        <v>3</v>
      </c>
      <c r="BS278">
        <v>4</v>
      </c>
      <c r="BT278">
        <v>3</v>
      </c>
      <c r="BU278">
        <v>1</v>
      </c>
      <c r="BV278">
        <v>1</v>
      </c>
      <c r="BW278">
        <v>1</v>
      </c>
      <c r="BX278">
        <v>3</v>
      </c>
      <c r="BY278">
        <v>2</v>
      </c>
      <c r="BZ278">
        <v>136</v>
      </c>
      <c r="CA278">
        <v>14</v>
      </c>
      <c r="CB278">
        <v>2</v>
      </c>
      <c r="CC278">
        <v>1</v>
      </c>
      <c r="CD278">
        <v>0</v>
      </c>
      <c r="CE278">
        <v>0</v>
      </c>
      <c r="CF278">
        <v>0</v>
      </c>
      <c r="CG278">
        <v>1</v>
      </c>
      <c r="CH278">
        <v>1</v>
      </c>
      <c r="CI278">
        <v>1</v>
      </c>
      <c r="CJ278">
        <v>8</v>
      </c>
      <c r="CK278">
        <v>0</v>
      </c>
      <c r="CL278">
        <v>14</v>
      </c>
      <c r="CM278">
        <v>9</v>
      </c>
      <c r="CN278">
        <v>9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9</v>
      </c>
      <c r="CY278">
        <v>45</v>
      </c>
      <c r="CZ278">
        <v>27</v>
      </c>
      <c r="DA278">
        <v>4</v>
      </c>
      <c r="DB278">
        <v>11</v>
      </c>
      <c r="DC278">
        <v>0</v>
      </c>
      <c r="DD278">
        <v>0</v>
      </c>
      <c r="DE278">
        <v>0</v>
      </c>
      <c r="DF278">
        <v>1</v>
      </c>
      <c r="DG278">
        <v>1</v>
      </c>
      <c r="DH278">
        <v>0</v>
      </c>
      <c r="DI278">
        <v>1</v>
      </c>
      <c r="DJ278">
        <v>45</v>
      </c>
      <c r="DK278">
        <v>76</v>
      </c>
      <c r="DL278">
        <v>46</v>
      </c>
      <c r="DM278">
        <v>22</v>
      </c>
      <c r="DN278">
        <v>0</v>
      </c>
      <c r="DO278">
        <v>0</v>
      </c>
      <c r="DP278">
        <v>1</v>
      </c>
      <c r="DQ278">
        <v>0</v>
      </c>
      <c r="DR278">
        <v>3</v>
      </c>
      <c r="DS278">
        <v>0</v>
      </c>
      <c r="DT278">
        <v>3</v>
      </c>
      <c r="DU278">
        <v>1</v>
      </c>
      <c r="DV278">
        <v>76</v>
      </c>
      <c r="DW278">
        <v>33</v>
      </c>
      <c r="DX278">
        <v>1</v>
      </c>
      <c r="DY278">
        <v>19</v>
      </c>
      <c r="DZ278">
        <v>1</v>
      </c>
      <c r="EA278">
        <v>0</v>
      </c>
      <c r="EB278">
        <v>0</v>
      </c>
      <c r="EC278">
        <v>10</v>
      </c>
      <c r="ED278">
        <v>0</v>
      </c>
      <c r="EE278">
        <v>0</v>
      </c>
      <c r="EF278">
        <v>1</v>
      </c>
      <c r="EG278">
        <v>1</v>
      </c>
      <c r="EH278">
        <v>33</v>
      </c>
      <c r="EI278">
        <v>3</v>
      </c>
      <c r="EJ278">
        <v>2</v>
      </c>
      <c r="EK278">
        <v>1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3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1</v>
      </c>
      <c r="FF278">
        <v>0</v>
      </c>
      <c r="FG278">
        <v>0</v>
      </c>
      <c r="FH278">
        <v>0</v>
      </c>
      <c r="FI278">
        <v>1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1</v>
      </c>
    </row>
    <row r="279" spans="1:172" ht="14.25">
      <c r="A279">
        <v>274</v>
      </c>
      <c r="B279" t="str">
        <f t="shared" si="51"/>
        <v>106301</v>
      </c>
      <c r="C279" t="str">
        <f t="shared" si="52"/>
        <v>m. Skierniewice</v>
      </c>
      <c r="D279" t="str">
        <f t="shared" si="53"/>
        <v>Skierniewice</v>
      </c>
      <c r="E279" t="str">
        <f t="shared" si="50"/>
        <v>łódzkie</v>
      </c>
      <c r="F279">
        <v>11</v>
      </c>
      <c r="G279" t="str">
        <f>"ul. Nowobielańska 61, 96-100 Skierniewice"</f>
        <v>ul. Nowobielańska 61, 96-100 Skierniewice</v>
      </c>
      <c r="H279">
        <v>1287</v>
      </c>
      <c r="I279">
        <v>1287</v>
      </c>
      <c r="J279">
        <v>0</v>
      </c>
      <c r="K279">
        <v>910</v>
      </c>
      <c r="L279">
        <v>451</v>
      </c>
      <c r="M279">
        <v>459</v>
      </c>
      <c r="N279">
        <v>459</v>
      </c>
      <c r="O279">
        <v>0</v>
      </c>
      <c r="P279">
        <v>0</v>
      </c>
      <c r="Q279">
        <v>3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459</v>
      </c>
      <c r="Z279">
        <v>0</v>
      </c>
      <c r="AA279">
        <v>0</v>
      </c>
      <c r="AB279">
        <v>459</v>
      </c>
      <c r="AC279">
        <v>6</v>
      </c>
      <c r="AD279">
        <v>453</v>
      </c>
      <c r="AE279">
        <v>1</v>
      </c>
      <c r="AF279">
        <v>1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1</v>
      </c>
      <c r="AQ279">
        <v>5</v>
      </c>
      <c r="AR279">
        <v>3</v>
      </c>
      <c r="AS279">
        <v>1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1</v>
      </c>
      <c r="AZ279">
        <v>0</v>
      </c>
      <c r="BA279">
        <v>0</v>
      </c>
      <c r="BB279">
        <v>5</v>
      </c>
      <c r="BC279">
        <v>32</v>
      </c>
      <c r="BD279">
        <v>13</v>
      </c>
      <c r="BE279">
        <v>5</v>
      </c>
      <c r="BF279">
        <v>1</v>
      </c>
      <c r="BG279">
        <v>0</v>
      </c>
      <c r="BH279">
        <v>7</v>
      </c>
      <c r="BI279">
        <v>2</v>
      </c>
      <c r="BJ279">
        <v>0</v>
      </c>
      <c r="BK279">
        <v>0</v>
      </c>
      <c r="BL279">
        <v>0</v>
      </c>
      <c r="BM279">
        <v>4</v>
      </c>
      <c r="BN279">
        <v>32</v>
      </c>
      <c r="BO279">
        <v>130</v>
      </c>
      <c r="BP279">
        <v>110</v>
      </c>
      <c r="BQ279">
        <v>10</v>
      </c>
      <c r="BR279">
        <v>3</v>
      </c>
      <c r="BS279">
        <v>1</v>
      </c>
      <c r="BT279">
        <v>0</v>
      </c>
      <c r="BU279">
        <v>2</v>
      </c>
      <c r="BV279">
        <v>1</v>
      </c>
      <c r="BW279">
        <v>1</v>
      </c>
      <c r="BX279">
        <v>0</v>
      </c>
      <c r="BY279">
        <v>2</v>
      </c>
      <c r="BZ279">
        <v>130</v>
      </c>
      <c r="CA279">
        <v>10</v>
      </c>
      <c r="CB279">
        <v>8</v>
      </c>
      <c r="CC279">
        <v>1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1</v>
      </c>
      <c r="CK279">
        <v>0</v>
      </c>
      <c r="CL279">
        <v>10</v>
      </c>
      <c r="CM279">
        <v>14</v>
      </c>
      <c r="CN279">
        <v>9</v>
      </c>
      <c r="CO279">
        <v>0</v>
      </c>
      <c r="CP279">
        <v>2</v>
      </c>
      <c r="CQ279">
        <v>1</v>
      </c>
      <c r="CR279">
        <v>0</v>
      </c>
      <c r="CS279">
        <v>2</v>
      </c>
      <c r="CT279">
        <v>0</v>
      </c>
      <c r="CU279">
        <v>0</v>
      </c>
      <c r="CV279">
        <v>0</v>
      </c>
      <c r="CW279">
        <v>0</v>
      </c>
      <c r="CX279">
        <v>14</v>
      </c>
      <c r="CY279">
        <v>42</v>
      </c>
      <c r="CZ279">
        <v>25</v>
      </c>
      <c r="DA279">
        <v>3</v>
      </c>
      <c r="DB279">
        <v>12</v>
      </c>
      <c r="DC279">
        <v>0</v>
      </c>
      <c r="DD279">
        <v>0</v>
      </c>
      <c r="DE279">
        <v>0</v>
      </c>
      <c r="DF279">
        <v>1</v>
      </c>
      <c r="DG279">
        <v>1</v>
      </c>
      <c r="DH279">
        <v>0</v>
      </c>
      <c r="DI279">
        <v>0</v>
      </c>
      <c r="DJ279">
        <v>42</v>
      </c>
      <c r="DK279">
        <v>184</v>
      </c>
      <c r="DL279">
        <v>147</v>
      </c>
      <c r="DM279">
        <v>20</v>
      </c>
      <c r="DN279">
        <v>8</v>
      </c>
      <c r="DO279">
        <v>1</v>
      </c>
      <c r="DP279">
        <v>2</v>
      </c>
      <c r="DQ279">
        <v>1</v>
      </c>
      <c r="DR279">
        <v>1</v>
      </c>
      <c r="DS279">
        <v>0</v>
      </c>
      <c r="DT279">
        <v>2</v>
      </c>
      <c r="DU279">
        <v>2</v>
      </c>
      <c r="DV279">
        <v>184</v>
      </c>
      <c r="DW279">
        <v>28</v>
      </c>
      <c r="DX279">
        <v>8</v>
      </c>
      <c r="DY279">
        <v>9</v>
      </c>
      <c r="DZ279">
        <v>1</v>
      </c>
      <c r="EA279">
        <v>1</v>
      </c>
      <c r="EB279">
        <v>0</v>
      </c>
      <c r="EC279">
        <v>9</v>
      </c>
      <c r="ED279">
        <v>0</v>
      </c>
      <c r="EE279">
        <v>0</v>
      </c>
      <c r="EF279">
        <v>0</v>
      </c>
      <c r="EG279">
        <v>0</v>
      </c>
      <c r="EH279">
        <v>28</v>
      </c>
      <c r="EI279">
        <v>7</v>
      </c>
      <c r="EJ279">
        <v>7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7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</row>
    <row r="280" spans="1:172" ht="14.25">
      <c r="A280">
        <v>275</v>
      </c>
      <c r="B280" t="str">
        <f t="shared" si="51"/>
        <v>106301</v>
      </c>
      <c r="C280" t="str">
        <f t="shared" si="52"/>
        <v>m. Skierniewice</v>
      </c>
      <c r="D280" t="str">
        <f t="shared" si="53"/>
        <v>Skierniewice</v>
      </c>
      <c r="E280" t="str">
        <f t="shared" si="50"/>
        <v>łódzkie</v>
      </c>
      <c r="F280">
        <v>12</v>
      </c>
      <c r="G280" t="str">
        <f>"Przedszkole Nr 10, ul. Szkolna 1, 96-100 Skierniewice"</f>
        <v>Przedszkole Nr 10, ul. Szkolna 1, 96-100 Skierniewice</v>
      </c>
      <c r="H280">
        <v>1366</v>
      </c>
      <c r="I280">
        <v>1366</v>
      </c>
      <c r="J280">
        <v>0</v>
      </c>
      <c r="K280">
        <v>960</v>
      </c>
      <c r="L280">
        <v>671</v>
      </c>
      <c r="M280">
        <v>289</v>
      </c>
      <c r="N280">
        <v>289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289</v>
      </c>
      <c r="Z280">
        <v>0</v>
      </c>
      <c r="AA280">
        <v>0</v>
      </c>
      <c r="AB280">
        <v>289</v>
      </c>
      <c r="AC280">
        <v>10</v>
      </c>
      <c r="AD280">
        <v>279</v>
      </c>
      <c r="AE280">
        <v>1</v>
      </c>
      <c r="AF280">
        <v>0</v>
      </c>
      <c r="AG280">
        <v>0</v>
      </c>
      <c r="AH280">
        <v>1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1</v>
      </c>
      <c r="AQ280">
        <v>1</v>
      </c>
      <c r="AR280">
        <v>0</v>
      </c>
      <c r="AS280">
        <v>1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1</v>
      </c>
      <c r="BC280">
        <v>22</v>
      </c>
      <c r="BD280">
        <v>15</v>
      </c>
      <c r="BE280">
        <v>1</v>
      </c>
      <c r="BF280">
        <v>0</v>
      </c>
      <c r="BG280">
        <v>1</v>
      </c>
      <c r="BH280">
        <v>0</v>
      </c>
      <c r="BI280">
        <v>1</v>
      </c>
      <c r="BJ280">
        <v>0</v>
      </c>
      <c r="BK280">
        <v>1</v>
      </c>
      <c r="BL280">
        <v>0</v>
      </c>
      <c r="BM280">
        <v>3</v>
      </c>
      <c r="BN280">
        <v>22</v>
      </c>
      <c r="BO280">
        <v>100</v>
      </c>
      <c r="BP280">
        <v>82</v>
      </c>
      <c r="BQ280">
        <v>8</v>
      </c>
      <c r="BR280">
        <v>6</v>
      </c>
      <c r="BS280">
        <v>0</v>
      </c>
      <c r="BT280">
        <v>0</v>
      </c>
      <c r="BU280">
        <v>0</v>
      </c>
      <c r="BV280">
        <v>1</v>
      </c>
      <c r="BW280">
        <v>1</v>
      </c>
      <c r="BX280">
        <v>0</v>
      </c>
      <c r="BY280">
        <v>2</v>
      </c>
      <c r="BZ280">
        <v>100</v>
      </c>
      <c r="CA280">
        <v>15</v>
      </c>
      <c r="CB280">
        <v>1</v>
      </c>
      <c r="CC280">
        <v>4</v>
      </c>
      <c r="CD280">
        <v>0</v>
      </c>
      <c r="CE280">
        <v>0</v>
      </c>
      <c r="CF280">
        <v>1</v>
      </c>
      <c r="CG280">
        <v>0</v>
      </c>
      <c r="CH280">
        <v>1</v>
      </c>
      <c r="CI280">
        <v>1</v>
      </c>
      <c r="CJ280">
        <v>6</v>
      </c>
      <c r="CK280">
        <v>1</v>
      </c>
      <c r="CL280">
        <v>15</v>
      </c>
      <c r="CM280">
        <v>10</v>
      </c>
      <c r="CN280">
        <v>6</v>
      </c>
      <c r="CO280">
        <v>0</v>
      </c>
      <c r="CP280">
        <v>0</v>
      </c>
      <c r="CQ280">
        <v>1</v>
      </c>
      <c r="CR280">
        <v>0</v>
      </c>
      <c r="CS280">
        <v>1</v>
      </c>
      <c r="CT280">
        <v>1</v>
      </c>
      <c r="CU280">
        <v>1</v>
      </c>
      <c r="CV280">
        <v>0</v>
      </c>
      <c r="CW280">
        <v>0</v>
      </c>
      <c r="CX280">
        <v>10</v>
      </c>
      <c r="CY280">
        <v>30</v>
      </c>
      <c r="CZ280">
        <v>16</v>
      </c>
      <c r="DA280">
        <v>1</v>
      </c>
      <c r="DB280">
        <v>6</v>
      </c>
      <c r="DC280">
        <v>2</v>
      </c>
      <c r="DD280">
        <v>2</v>
      </c>
      <c r="DE280">
        <v>1</v>
      </c>
      <c r="DF280">
        <v>0</v>
      </c>
      <c r="DG280">
        <v>0</v>
      </c>
      <c r="DH280">
        <v>1</v>
      </c>
      <c r="DI280">
        <v>1</v>
      </c>
      <c r="DJ280">
        <v>30</v>
      </c>
      <c r="DK280">
        <v>76</v>
      </c>
      <c r="DL280">
        <v>45</v>
      </c>
      <c r="DM280">
        <v>16</v>
      </c>
      <c r="DN280">
        <v>5</v>
      </c>
      <c r="DO280">
        <v>1</v>
      </c>
      <c r="DP280">
        <v>0</v>
      </c>
      <c r="DQ280">
        <v>1</v>
      </c>
      <c r="DR280">
        <v>3</v>
      </c>
      <c r="DS280">
        <v>4</v>
      </c>
      <c r="DT280">
        <v>1</v>
      </c>
      <c r="DU280">
        <v>0</v>
      </c>
      <c r="DV280">
        <v>76</v>
      </c>
      <c r="DW280">
        <v>16</v>
      </c>
      <c r="DX280">
        <v>1</v>
      </c>
      <c r="DY280">
        <v>11</v>
      </c>
      <c r="DZ280">
        <v>0</v>
      </c>
      <c r="EA280">
        <v>0</v>
      </c>
      <c r="EB280">
        <v>0</v>
      </c>
      <c r="EC280">
        <v>4</v>
      </c>
      <c r="ED280">
        <v>0</v>
      </c>
      <c r="EE280">
        <v>0</v>
      </c>
      <c r="EF280">
        <v>0</v>
      </c>
      <c r="EG280">
        <v>0</v>
      </c>
      <c r="EH280">
        <v>16</v>
      </c>
      <c r="EI280">
        <v>7</v>
      </c>
      <c r="EJ280">
        <v>0</v>
      </c>
      <c r="EK280">
        <v>5</v>
      </c>
      <c r="EL280">
        <v>0</v>
      </c>
      <c r="EM280">
        <v>0</v>
      </c>
      <c r="EN280">
        <v>0</v>
      </c>
      <c r="EO280">
        <v>0</v>
      </c>
      <c r="EP280">
        <v>2</v>
      </c>
      <c r="EQ280">
        <v>0</v>
      </c>
      <c r="ER280">
        <v>7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1</v>
      </c>
      <c r="FF280">
        <v>1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1</v>
      </c>
    </row>
    <row r="281" spans="1:172" ht="14.25">
      <c r="A281">
        <v>276</v>
      </c>
      <c r="B281" t="str">
        <f t="shared" si="51"/>
        <v>106301</v>
      </c>
      <c r="C281" t="str">
        <f t="shared" si="52"/>
        <v>m. Skierniewice</v>
      </c>
      <c r="D281" t="str">
        <f t="shared" si="53"/>
        <v>Skierniewice</v>
      </c>
      <c r="E281" t="str">
        <f t="shared" si="50"/>
        <v>łódzkie</v>
      </c>
      <c r="F281">
        <v>13</v>
      </c>
      <c r="G281" t="str">
        <f>"Zespół Szkół Integracyjnych, ul. Przerwy-Tetmajera 7, 96-100 Skierniewice"</f>
        <v>Zespół Szkół Integracyjnych, ul. Przerwy-Tetmajera 7, 96-100 Skierniewice</v>
      </c>
      <c r="H281">
        <v>1102</v>
      </c>
      <c r="I281">
        <v>1102</v>
      </c>
      <c r="J281">
        <v>0</v>
      </c>
      <c r="K281">
        <v>780</v>
      </c>
      <c r="L281">
        <v>489</v>
      </c>
      <c r="M281">
        <v>291</v>
      </c>
      <c r="N281">
        <v>291</v>
      </c>
      <c r="O281">
        <v>0</v>
      </c>
      <c r="P281">
        <v>0</v>
      </c>
      <c r="Q281">
        <v>1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291</v>
      </c>
      <c r="Z281">
        <v>0</v>
      </c>
      <c r="AA281">
        <v>0</v>
      </c>
      <c r="AB281">
        <v>291</v>
      </c>
      <c r="AC281">
        <v>10</v>
      </c>
      <c r="AD281">
        <v>281</v>
      </c>
      <c r="AE281">
        <v>2</v>
      </c>
      <c r="AF281">
        <v>1</v>
      </c>
      <c r="AG281">
        <v>1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2</v>
      </c>
      <c r="AQ281">
        <v>2</v>
      </c>
      <c r="AR281">
        <v>2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2</v>
      </c>
      <c r="BC281">
        <v>16</v>
      </c>
      <c r="BD281">
        <v>8</v>
      </c>
      <c r="BE281">
        <v>4</v>
      </c>
      <c r="BF281">
        <v>0</v>
      </c>
      <c r="BG281">
        <v>2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2</v>
      </c>
      <c r="BN281">
        <v>16</v>
      </c>
      <c r="BO281">
        <v>96</v>
      </c>
      <c r="BP281">
        <v>86</v>
      </c>
      <c r="BQ281">
        <v>4</v>
      </c>
      <c r="BR281">
        <v>2</v>
      </c>
      <c r="BS281">
        <v>0</v>
      </c>
      <c r="BT281">
        <v>2</v>
      </c>
      <c r="BU281">
        <v>0</v>
      </c>
      <c r="BV281">
        <v>2</v>
      </c>
      <c r="BW281">
        <v>0</v>
      </c>
      <c r="BX281">
        <v>0</v>
      </c>
      <c r="BY281">
        <v>0</v>
      </c>
      <c r="BZ281">
        <v>96</v>
      </c>
      <c r="CA281">
        <v>9</v>
      </c>
      <c r="CB281">
        <v>2</v>
      </c>
      <c r="CC281">
        <v>0</v>
      </c>
      <c r="CD281">
        <v>1</v>
      </c>
      <c r="CE281">
        <v>0</v>
      </c>
      <c r="CF281">
        <v>0</v>
      </c>
      <c r="CG281">
        <v>1</v>
      </c>
      <c r="CH281">
        <v>0</v>
      </c>
      <c r="CI281">
        <v>0</v>
      </c>
      <c r="CJ281">
        <v>5</v>
      </c>
      <c r="CK281">
        <v>0</v>
      </c>
      <c r="CL281">
        <v>9</v>
      </c>
      <c r="CM281">
        <v>5</v>
      </c>
      <c r="CN281">
        <v>3</v>
      </c>
      <c r="CO281">
        <v>1</v>
      </c>
      <c r="CP281">
        <v>1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5</v>
      </c>
      <c r="CY281">
        <v>30</v>
      </c>
      <c r="CZ281">
        <v>17</v>
      </c>
      <c r="DA281">
        <v>1</v>
      </c>
      <c r="DB281">
        <v>8</v>
      </c>
      <c r="DC281">
        <v>0</v>
      </c>
      <c r="DD281">
        <v>1</v>
      </c>
      <c r="DE281">
        <v>0</v>
      </c>
      <c r="DF281">
        <v>1</v>
      </c>
      <c r="DG281">
        <v>0</v>
      </c>
      <c r="DH281">
        <v>1</v>
      </c>
      <c r="DI281">
        <v>1</v>
      </c>
      <c r="DJ281">
        <v>30</v>
      </c>
      <c r="DK281">
        <v>106</v>
      </c>
      <c r="DL281">
        <v>77</v>
      </c>
      <c r="DM281">
        <v>22</v>
      </c>
      <c r="DN281">
        <v>0</v>
      </c>
      <c r="DO281">
        <v>3</v>
      </c>
      <c r="DP281">
        <v>2</v>
      </c>
      <c r="DQ281">
        <v>0</v>
      </c>
      <c r="DR281">
        <v>1</v>
      </c>
      <c r="DS281">
        <v>0</v>
      </c>
      <c r="DT281">
        <v>1</v>
      </c>
      <c r="DU281">
        <v>0</v>
      </c>
      <c r="DV281">
        <v>106</v>
      </c>
      <c r="DW281">
        <v>10</v>
      </c>
      <c r="DX281">
        <v>1</v>
      </c>
      <c r="DY281">
        <v>7</v>
      </c>
      <c r="DZ281">
        <v>0</v>
      </c>
      <c r="EA281">
        <v>0</v>
      </c>
      <c r="EB281">
        <v>2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10</v>
      </c>
      <c r="EI281">
        <v>3</v>
      </c>
      <c r="EJ281">
        <v>2</v>
      </c>
      <c r="EK281">
        <v>1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3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2</v>
      </c>
      <c r="FF281">
        <v>2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2</v>
      </c>
    </row>
    <row r="282" spans="1:172" ht="14.25">
      <c r="A282">
        <v>277</v>
      </c>
      <c r="B282" t="str">
        <f t="shared" si="51"/>
        <v>106301</v>
      </c>
      <c r="C282" t="str">
        <f t="shared" si="52"/>
        <v>m. Skierniewice</v>
      </c>
      <c r="D282" t="str">
        <f t="shared" si="53"/>
        <v>Skierniewice</v>
      </c>
      <c r="E282" t="str">
        <f t="shared" si="50"/>
        <v>łódzkie</v>
      </c>
      <c r="F282">
        <v>14</v>
      </c>
      <c r="G282" t="str">
        <f>"Liceum Ogólnokształcące im. Bolesława Prusa, ul. Henryka Sienkiewicza 10, 96-100 Skierniewice"</f>
        <v>Liceum Ogólnokształcące im. Bolesława Prusa, ul. Henryka Sienkiewicza 10, 96-100 Skierniewice</v>
      </c>
      <c r="H282">
        <v>1914</v>
      </c>
      <c r="I282">
        <v>1914</v>
      </c>
      <c r="J282">
        <v>0</v>
      </c>
      <c r="K282">
        <v>1350</v>
      </c>
      <c r="L282">
        <v>970</v>
      </c>
      <c r="M282">
        <v>380</v>
      </c>
      <c r="N282">
        <v>380</v>
      </c>
      <c r="O282">
        <v>0</v>
      </c>
      <c r="P282">
        <v>0</v>
      </c>
      <c r="Q282">
        <v>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380</v>
      </c>
      <c r="Z282">
        <v>0</v>
      </c>
      <c r="AA282">
        <v>0</v>
      </c>
      <c r="AB282">
        <v>380</v>
      </c>
      <c r="AC282">
        <v>11</v>
      </c>
      <c r="AD282">
        <v>369</v>
      </c>
      <c r="AE282">
        <v>4</v>
      </c>
      <c r="AF282">
        <v>2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1</v>
      </c>
      <c r="AM282">
        <v>0</v>
      </c>
      <c r="AN282">
        <v>1</v>
      </c>
      <c r="AO282">
        <v>0</v>
      </c>
      <c r="AP282">
        <v>4</v>
      </c>
      <c r="AQ282">
        <v>3</v>
      </c>
      <c r="AR282">
        <v>1</v>
      </c>
      <c r="AS282">
        <v>1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1</v>
      </c>
      <c r="BA282">
        <v>0</v>
      </c>
      <c r="BB282">
        <v>3</v>
      </c>
      <c r="BC282">
        <v>24</v>
      </c>
      <c r="BD282">
        <v>14</v>
      </c>
      <c r="BE282">
        <v>2</v>
      </c>
      <c r="BF282">
        <v>2</v>
      </c>
      <c r="BG282">
        <v>1</v>
      </c>
      <c r="BH282">
        <v>1</v>
      </c>
      <c r="BI282">
        <v>0</v>
      </c>
      <c r="BJ282">
        <v>0</v>
      </c>
      <c r="BK282">
        <v>0</v>
      </c>
      <c r="BL282">
        <v>0</v>
      </c>
      <c r="BM282">
        <v>4</v>
      </c>
      <c r="BN282">
        <v>24</v>
      </c>
      <c r="BO282">
        <v>140</v>
      </c>
      <c r="BP282">
        <v>109</v>
      </c>
      <c r="BQ282">
        <v>7</v>
      </c>
      <c r="BR282">
        <v>14</v>
      </c>
      <c r="BS282">
        <v>3</v>
      </c>
      <c r="BT282">
        <v>3</v>
      </c>
      <c r="BU282">
        <v>2</v>
      </c>
      <c r="BV282">
        <v>0</v>
      </c>
      <c r="BW282">
        <v>0</v>
      </c>
      <c r="BX282">
        <v>0</v>
      </c>
      <c r="BY282">
        <v>2</v>
      </c>
      <c r="BZ282">
        <v>140</v>
      </c>
      <c r="CA282">
        <v>10</v>
      </c>
      <c r="CB282">
        <v>5</v>
      </c>
      <c r="CC282">
        <v>0</v>
      </c>
      <c r="CD282">
        <v>1</v>
      </c>
      <c r="CE282">
        <v>0</v>
      </c>
      <c r="CF282">
        <v>1</v>
      </c>
      <c r="CG282">
        <v>0</v>
      </c>
      <c r="CH282">
        <v>0</v>
      </c>
      <c r="CI282">
        <v>0</v>
      </c>
      <c r="CJ282">
        <v>3</v>
      </c>
      <c r="CK282">
        <v>0</v>
      </c>
      <c r="CL282">
        <v>10</v>
      </c>
      <c r="CM282">
        <v>9</v>
      </c>
      <c r="CN282">
        <v>4</v>
      </c>
      <c r="CO282">
        <v>2</v>
      </c>
      <c r="CP282">
        <v>0</v>
      </c>
      <c r="CQ282">
        <v>1</v>
      </c>
      <c r="CR282">
        <v>0</v>
      </c>
      <c r="CS282">
        <v>0</v>
      </c>
      <c r="CT282">
        <v>1</v>
      </c>
      <c r="CU282">
        <v>0</v>
      </c>
      <c r="CV282">
        <v>0</v>
      </c>
      <c r="CW282">
        <v>1</v>
      </c>
      <c r="CX282">
        <v>9</v>
      </c>
      <c r="CY282">
        <v>40</v>
      </c>
      <c r="CZ282">
        <v>25</v>
      </c>
      <c r="DA282">
        <v>4</v>
      </c>
      <c r="DB282">
        <v>8</v>
      </c>
      <c r="DC282">
        <v>1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2</v>
      </c>
      <c r="DJ282">
        <v>40</v>
      </c>
      <c r="DK282">
        <v>120</v>
      </c>
      <c r="DL282">
        <v>89</v>
      </c>
      <c r="DM282">
        <v>22</v>
      </c>
      <c r="DN282">
        <v>0</v>
      </c>
      <c r="DO282">
        <v>0</v>
      </c>
      <c r="DP282">
        <v>1</v>
      </c>
      <c r="DQ282">
        <v>0</v>
      </c>
      <c r="DR282">
        <v>3</v>
      </c>
      <c r="DS282">
        <v>1</v>
      </c>
      <c r="DT282">
        <v>0</v>
      </c>
      <c r="DU282">
        <v>4</v>
      </c>
      <c r="DV282">
        <v>120</v>
      </c>
      <c r="DW282">
        <v>14</v>
      </c>
      <c r="DX282">
        <v>1</v>
      </c>
      <c r="DY282">
        <v>9</v>
      </c>
      <c r="DZ282">
        <v>0</v>
      </c>
      <c r="EA282">
        <v>0</v>
      </c>
      <c r="EB282">
        <v>0</v>
      </c>
      <c r="EC282">
        <v>4</v>
      </c>
      <c r="ED282">
        <v>0</v>
      </c>
      <c r="EE282">
        <v>0</v>
      </c>
      <c r="EF282">
        <v>0</v>
      </c>
      <c r="EG282">
        <v>0</v>
      </c>
      <c r="EH282">
        <v>14</v>
      </c>
      <c r="EI282">
        <v>3</v>
      </c>
      <c r="EJ282">
        <v>1</v>
      </c>
      <c r="EK282">
        <v>1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1</v>
      </c>
      <c r="ER282">
        <v>3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2</v>
      </c>
      <c r="FF282">
        <v>1</v>
      </c>
      <c r="FG282">
        <v>0</v>
      </c>
      <c r="FH282">
        <v>0</v>
      </c>
      <c r="FI282">
        <v>1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2</v>
      </c>
    </row>
    <row r="283" spans="1:172" ht="14.25">
      <c r="A283">
        <v>278</v>
      </c>
      <c r="B283" t="str">
        <f t="shared" si="51"/>
        <v>106301</v>
      </c>
      <c r="C283" t="str">
        <f t="shared" si="52"/>
        <v>m. Skierniewice</v>
      </c>
      <c r="D283" t="str">
        <f t="shared" si="53"/>
        <v>Skierniewice</v>
      </c>
      <c r="E283" t="str">
        <f t="shared" si="50"/>
        <v>łódzkie</v>
      </c>
      <c r="F283">
        <v>15</v>
      </c>
      <c r="G283" t="str">
        <f>"Powiatowy Urząd Pracy, ul. Al. Niepodległości 7, 96-100 Skierniewice"</f>
        <v>Powiatowy Urząd Pracy, ul. Al. Niepodległości 7, 96-100 Skierniewice</v>
      </c>
      <c r="H283">
        <v>1469</v>
      </c>
      <c r="I283">
        <v>1469</v>
      </c>
      <c r="J283">
        <v>0</v>
      </c>
      <c r="K283">
        <v>1040</v>
      </c>
      <c r="L283">
        <v>596</v>
      </c>
      <c r="M283">
        <v>444</v>
      </c>
      <c r="N283">
        <v>444</v>
      </c>
      <c r="O283">
        <v>0</v>
      </c>
      <c r="P283">
        <v>1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444</v>
      </c>
      <c r="Z283">
        <v>0</v>
      </c>
      <c r="AA283">
        <v>0</v>
      </c>
      <c r="AB283">
        <v>444</v>
      </c>
      <c r="AC283">
        <v>12</v>
      </c>
      <c r="AD283">
        <v>432</v>
      </c>
      <c r="AE283">
        <v>4</v>
      </c>
      <c r="AF283">
        <v>0</v>
      </c>
      <c r="AG283">
        <v>0</v>
      </c>
      <c r="AH283">
        <v>3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1</v>
      </c>
      <c r="AP283">
        <v>4</v>
      </c>
      <c r="AQ283">
        <v>5</v>
      </c>
      <c r="AR283">
        <v>3</v>
      </c>
      <c r="AS283">
        <v>0</v>
      </c>
      <c r="AT283">
        <v>0</v>
      </c>
      <c r="AU283">
        <v>1</v>
      </c>
      <c r="AV283">
        <v>0</v>
      </c>
      <c r="AW283">
        <v>0</v>
      </c>
      <c r="AX283">
        <v>0</v>
      </c>
      <c r="AY283">
        <v>0</v>
      </c>
      <c r="AZ283">
        <v>1</v>
      </c>
      <c r="BA283">
        <v>0</v>
      </c>
      <c r="BB283">
        <v>5</v>
      </c>
      <c r="BC283">
        <v>37</v>
      </c>
      <c r="BD283">
        <v>22</v>
      </c>
      <c r="BE283">
        <v>2</v>
      </c>
      <c r="BF283">
        <v>0</v>
      </c>
      <c r="BG283">
        <v>2</v>
      </c>
      <c r="BH283">
        <v>2</v>
      </c>
      <c r="BI283">
        <v>4</v>
      </c>
      <c r="BJ283">
        <v>0</v>
      </c>
      <c r="BK283">
        <v>2</v>
      </c>
      <c r="BL283">
        <v>1</v>
      </c>
      <c r="BM283">
        <v>2</v>
      </c>
      <c r="BN283">
        <v>37</v>
      </c>
      <c r="BO283">
        <v>170</v>
      </c>
      <c r="BP283">
        <v>144</v>
      </c>
      <c r="BQ283">
        <v>2</v>
      </c>
      <c r="BR283">
        <v>4</v>
      </c>
      <c r="BS283">
        <v>4</v>
      </c>
      <c r="BT283">
        <v>2</v>
      </c>
      <c r="BU283">
        <v>2</v>
      </c>
      <c r="BV283">
        <v>2</v>
      </c>
      <c r="BW283">
        <v>1</v>
      </c>
      <c r="BX283">
        <v>1</v>
      </c>
      <c r="BY283">
        <v>8</v>
      </c>
      <c r="BZ283">
        <v>170</v>
      </c>
      <c r="CA283">
        <v>13</v>
      </c>
      <c r="CB283">
        <v>6</v>
      </c>
      <c r="CC283">
        <v>1</v>
      </c>
      <c r="CD283">
        <v>2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4</v>
      </c>
      <c r="CK283">
        <v>0</v>
      </c>
      <c r="CL283">
        <v>13</v>
      </c>
      <c r="CM283">
        <v>11</v>
      </c>
      <c r="CN283">
        <v>7</v>
      </c>
      <c r="CO283">
        <v>2</v>
      </c>
      <c r="CP283">
        <v>1</v>
      </c>
      <c r="CQ283">
        <v>1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11</v>
      </c>
      <c r="CY283">
        <v>25</v>
      </c>
      <c r="CZ283">
        <v>10</v>
      </c>
      <c r="DA283">
        <v>1</v>
      </c>
      <c r="DB283">
        <v>11</v>
      </c>
      <c r="DC283">
        <v>0</v>
      </c>
      <c r="DD283">
        <v>0</v>
      </c>
      <c r="DE283">
        <v>0</v>
      </c>
      <c r="DF283">
        <v>2</v>
      </c>
      <c r="DG283">
        <v>0</v>
      </c>
      <c r="DH283">
        <v>0</v>
      </c>
      <c r="DI283">
        <v>1</v>
      </c>
      <c r="DJ283">
        <v>25</v>
      </c>
      <c r="DK283">
        <v>143</v>
      </c>
      <c r="DL283">
        <v>112</v>
      </c>
      <c r="DM283">
        <v>24</v>
      </c>
      <c r="DN283">
        <v>1</v>
      </c>
      <c r="DO283">
        <v>0</v>
      </c>
      <c r="DP283">
        <v>1</v>
      </c>
      <c r="DQ283">
        <v>0</v>
      </c>
      <c r="DR283">
        <v>0</v>
      </c>
      <c r="DS283">
        <v>2</v>
      </c>
      <c r="DT283">
        <v>2</v>
      </c>
      <c r="DU283">
        <v>1</v>
      </c>
      <c r="DV283">
        <v>143</v>
      </c>
      <c r="DW283">
        <v>19</v>
      </c>
      <c r="DX283">
        <v>0</v>
      </c>
      <c r="DY283">
        <v>9</v>
      </c>
      <c r="DZ283">
        <v>0</v>
      </c>
      <c r="EA283">
        <v>0</v>
      </c>
      <c r="EB283">
        <v>0</v>
      </c>
      <c r="EC283">
        <v>9</v>
      </c>
      <c r="ED283">
        <v>1</v>
      </c>
      <c r="EE283">
        <v>0</v>
      </c>
      <c r="EF283">
        <v>0</v>
      </c>
      <c r="EG283">
        <v>0</v>
      </c>
      <c r="EH283">
        <v>19</v>
      </c>
      <c r="EI283">
        <v>1</v>
      </c>
      <c r="EJ283">
        <v>0</v>
      </c>
      <c r="EK283">
        <v>1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1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4</v>
      </c>
      <c r="FF283">
        <v>0</v>
      </c>
      <c r="FG283">
        <v>1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3</v>
      </c>
      <c r="FP283">
        <v>4</v>
      </c>
    </row>
    <row r="284" spans="1:172" ht="14.25">
      <c r="A284">
        <v>279</v>
      </c>
      <c r="B284" t="str">
        <f t="shared" si="51"/>
        <v>106301</v>
      </c>
      <c r="C284" t="str">
        <f t="shared" si="52"/>
        <v>m. Skierniewice</v>
      </c>
      <c r="D284" t="str">
        <f t="shared" si="53"/>
        <v>Skierniewice</v>
      </c>
      <c r="E284" t="str">
        <f t="shared" si="50"/>
        <v>łódzkie</v>
      </c>
      <c r="F284">
        <v>16</v>
      </c>
      <c r="G284" t="str">
        <f>"Zespół Sportowych Szkół Ogólnokształcących, ul. Marii Konopnickiej 5, 96-100 Skierniewice"</f>
        <v>Zespół Sportowych Szkół Ogólnokształcących, ul. Marii Konopnickiej 5, 96-100 Skierniewice</v>
      </c>
      <c r="H284">
        <v>1313</v>
      </c>
      <c r="I284">
        <v>1313</v>
      </c>
      <c r="J284">
        <v>0</v>
      </c>
      <c r="K284">
        <v>930</v>
      </c>
      <c r="L284">
        <v>645</v>
      </c>
      <c r="M284">
        <v>285</v>
      </c>
      <c r="N284">
        <v>285</v>
      </c>
      <c r="O284">
        <v>0</v>
      </c>
      <c r="P284">
        <v>0</v>
      </c>
      <c r="Q284">
        <v>2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285</v>
      </c>
      <c r="Z284">
        <v>0</v>
      </c>
      <c r="AA284">
        <v>0</v>
      </c>
      <c r="AB284">
        <v>285</v>
      </c>
      <c r="AC284">
        <v>5</v>
      </c>
      <c r="AD284">
        <v>280</v>
      </c>
      <c r="AE284">
        <v>11</v>
      </c>
      <c r="AF284">
        <v>2</v>
      </c>
      <c r="AG284">
        <v>0</v>
      </c>
      <c r="AH284">
        <v>5</v>
      </c>
      <c r="AI284">
        <v>0</v>
      </c>
      <c r="AJ284">
        <v>0</v>
      </c>
      <c r="AK284">
        <v>0</v>
      </c>
      <c r="AL284">
        <v>1</v>
      </c>
      <c r="AM284">
        <v>0</v>
      </c>
      <c r="AN284">
        <v>2</v>
      </c>
      <c r="AO284">
        <v>1</v>
      </c>
      <c r="AP284">
        <v>11</v>
      </c>
      <c r="AQ284">
        <v>3</v>
      </c>
      <c r="AR284">
        <v>1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2</v>
      </c>
      <c r="BB284">
        <v>3</v>
      </c>
      <c r="BC284">
        <v>22</v>
      </c>
      <c r="BD284">
        <v>11</v>
      </c>
      <c r="BE284">
        <v>7</v>
      </c>
      <c r="BF284">
        <v>2</v>
      </c>
      <c r="BG284">
        <v>0</v>
      </c>
      <c r="BH284">
        <v>1</v>
      </c>
      <c r="BI284">
        <v>0</v>
      </c>
      <c r="BJ284">
        <v>0</v>
      </c>
      <c r="BK284">
        <v>0</v>
      </c>
      <c r="BL284">
        <v>0</v>
      </c>
      <c r="BM284">
        <v>1</v>
      </c>
      <c r="BN284">
        <v>22</v>
      </c>
      <c r="BO284">
        <v>93</v>
      </c>
      <c r="BP284">
        <v>76</v>
      </c>
      <c r="BQ284">
        <v>5</v>
      </c>
      <c r="BR284">
        <v>5</v>
      </c>
      <c r="BS284">
        <v>1</v>
      </c>
      <c r="BT284">
        <v>3</v>
      </c>
      <c r="BU284">
        <v>0</v>
      </c>
      <c r="BV284">
        <v>1</v>
      </c>
      <c r="BW284">
        <v>0</v>
      </c>
      <c r="BX284">
        <v>0</v>
      </c>
      <c r="BY284">
        <v>2</v>
      </c>
      <c r="BZ284">
        <v>93</v>
      </c>
      <c r="CA284">
        <v>8</v>
      </c>
      <c r="CB284">
        <v>4</v>
      </c>
      <c r="CC284">
        <v>2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2</v>
      </c>
      <c r="CK284">
        <v>0</v>
      </c>
      <c r="CL284">
        <v>8</v>
      </c>
      <c r="CM284">
        <v>11</v>
      </c>
      <c r="CN284">
        <v>8</v>
      </c>
      <c r="CO284">
        <v>3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11</v>
      </c>
      <c r="CY284">
        <v>16</v>
      </c>
      <c r="CZ284">
        <v>7</v>
      </c>
      <c r="DA284">
        <v>2</v>
      </c>
      <c r="DB284">
        <v>3</v>
      </c>
      <c r="DC284">
        <v>0</v>
      </c>
      <c r="DD284">
        <v>2</v>
      </c>
      <c r="DE284">
        <v>1</v>
      </c>
      <c r="DF284">
        <v>1</v>
      </c>
      <c r="DG284">
        <v>0</v>
      </c>
      <c r="DH284">
        <v>0</v>
      </c>
      <c r="DI284">
        <v>0</v>
      </c>
      <c r="DJ284">
        <v>16</v>
      </c>
      <c r="DK284">
        <v>89</v>
      </c>
      <c r="DL284">
        <v>59</v>
      </c>
      <c r="DM284">
        <v>17</v>
      </c>
      <c r="DN284">
        <v>2</v>
      </c>
      <c r="DO284">
        <v>1</v>
      </c>
      <c r="DP284">
        <v>2</v>
      </c>
      <c r="DQ284">
        <v>2</v>
      </c>
      <c r="DR284">
        <v>1</v>
      </c>
      <c r="DS284">
        <v>3</v>
      </c>
      <c r="DT284">
        <v>1</v>
      </c>
      <c r="DU284">
        <v>1</v>
      </c>
      <c r="DV284">
        <v>89</v>
      </c>
      <c r="DW284">
        <v>25</v>
      </c>
      <c r="DX284">
        <v>2</v>
      </c>
      <c r="DY284">
        <v>11</v>
      </c>
      <c r="DZ284">
        <v>0</v>
      </c>
      <c r="EA284">
        <v>4</v>
      </c>
      <c r="EB284">
        <v>0</v>
      </c>
      <c r="EC284">
        <v>8</v>
      </c>
      <c r="ED284">
        <v>0</v>
      </c>
      <c r="EE284">
        <v>0</v>
      </c>
      <c r="EF284">
        <v>0</v>
      </c>
      <c r="EG284">
        <v>0</v>
      </c>
      <c r="EH284">
        <v>25</v>
      </c>
      <c r="EI284">
        <v>1</v>
      </c>
      <c r="EJ284">
        <v>0</v>
      </c>
      <c r="EK284">
        <v>1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1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1</v>
      </c>
      <c r="FF284">
        <v>1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1</v>
      </c>
    </row>
    <row r="285" spans="1:172" ht="14.25">
      <c r="A285">
        <v>280</v>
      </c>
      <c r="B285" t="str">
        <f t="shared" si="51"/>
        <v>106301</v>
      </c>
      <c r="C285" t="str">
        <f t="shared" si="52"/>
        <v>m. Skierniewice</v>
      </c>
      <c r="D285" t="str">
        <f t="shared" si="53"/>
        <v>Skierniewice</v>
      </c>
      <c r="E285" t="str">
        <f t="shared" si="50"/>
        <v>łódzkie</v>
      </c>
      <c r="F285">
        <v>17</v>
      </c>
      <c r="G285" t="str">
        <f>"Młodzieżowe Centrum Kultury, ul. Władysława Stanisława Reymonta 33, 96-100 Skierniewice"</f>
        <v>Młodzieżowe Centrum Kultury, ul. Władysława Stanisława Reymonta 33, 96-100 Skierniewice</v>
      </c>
      <c r="H285">
        <v>1315</v>
      </c>
      <c r="I285">
        <v>1315</v>
      </c>
      <c r="J285">
        <v>0</v>
      </c>
      <c r="K285">
        <v>930</v>
      </c>
      <c r="L285">
        <v>612</v>
      </c>
      <c r="M285">
        <v>318</v>
      </c>
      <c r="N285">
        <v>318</v>
      </c>
      <c r="O285">
        <v>0</v>
      </c>
      <c r="P285">
        <v>0</v>
      </c>
      <c r="Q285">
        <v>3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318</v>
      </c>
      <c r="Z285">
        <v>0</v>
      </c>
      <c r="AA285">
        <v>0</v>
      </c>
      <c r="AB285">
        <v>318</v>
      </c>
      <c r="AC285">
        <v>5</v>
      </c>
      <c r="AD285">
        <v>313</v>
      </c>
      <c r="AE285">
        <v>5</v>
      </c>
      <c r="AF285">
        <v>2</v>
      </c>
      <c r="AG285">
        <v>0</v>
      </c>
      <c r="AH285">
        <v>1</v>
      </c>
      <c r="AI285">
        <v>1</v>
      </c>
      <c r="AJ285">
        <v>0</v>
      </c>
      <c r="AK285">
        <v>0</v>
      </c>
      <c r="AL285">
        <v>1</v>
      </c>
      <c r="AM285">
        <v>0</v>
      </c>
      <c r="AN285">
        <v>0</v>
      </c>
      <c r="AO285">
        <v>0</v>
      </c>
      <c r="AP285">
        <v>5</v>
      </c>
      <c r="AQ285">
        <v>6</v>
      </c>
      <c r="AR285">
        <v>5</v>
      </c>
      <c r="AS285">
        <v>0</v>
      </c>
      <c r="AT285">
        <v>1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6</v>
      </c>
      <c r="BC285">
        <v>24</v>
      </c>
      <c r="BD285">
        <v>15</v>
      </c>
      <c r="BE285">
        <v>4</v>
      </c>
      <c r="BF285">
        <v>1</v>
      </c>
      <c r="BG285">
        <v>2</v>
      </c>
      <c r="BH285">
        <v>0</v>
      </c>
      <c r="BI285">
        <v>2</v>
      </c>
      <c r="BJ285">
        <v>0</v>
      </c>
      <c r="BK285">
        <v>0</v>
      </c>
      <c r="BL285">
        <v>0</v>
      </c>
      <c r="BM285">
        <v>0</v>
      </c>
      <c r="BN285">
        <v>24</v>
      </c>
      <c r="BO285">
        <v>114</v>
      </c>
      <c r="BP285">
        <v>104</v>
      </c>
      <c r="BQ285">
        <v>3</v>
      </c>
      <c r="BR285">
        <v>2</v>
      </c>
      <c r="BS285">
        <v>1</v>
      </c>
      <c r="BT285">
        <v>1</v>
      </c>
      <c r="BU285">
        <v>2</v>
      </c>
      <c r="BV285">
        <v>0</v>
      </c>
      <c r="BW285">
        <v>0</v>
      </c>
      <c r="BX285">
        <v>0</v>
      </c>
      <c r="BY285">
        <v>1</v>
      </c>
      <c r="BZ285">
        <v>114</v>
      </c>
      <c r="CA285">
        <v>7</v>
      </c>
      <c r="CB285">
        <v>2</v>
      </c>
      <c r="CC285">
        <v>2</v>
      </c>
      <c r="CD285">
        <v>0</v>
      </c>
      <c r="CE285">
        <v>1</v>
      </c>
      <c r="CF285">
        <v>0</v>
      </c>
      <c r="CG285">
        <v>0</v>
      </c>
      <c r="CH285">
        <v>1</v>
      </c>
      <c r="CI285">
        <v>0</v>
      </c>
      <c r="CJ285">
        <v>1</v>
      </c>
      <c r="CK285">
        <v>0</v>
      </c>
      <c r="CL285">
        <v>7</v>
      </c>
      <c r="CM285">
        <v>13</v>
      </c>
      <c r="CN285">
        <v>8</v>
      </c>
      <c r="CO285">
        <v>0</v>
      </c>
      <c r="CP285">
        <v>2</v>
      </c>
      <c r="CQ285">
        <v>3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13</v>
      </c>
      <c r="CY285">
        <v>16</v>
      </c>
      <c r="CZ285">
        <v>6</v>
      </c>
      <c r="DA285">
        <v>0</v>
      </c>
      <c r="DB285">
        <v>8</v>
      </c>
      <c r="DC285">
        <v>1</v>
      </c>
      <c r="DD285">
        <v>1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16</v>
      </c>
      <c r="DK285">
        <v>107</v>
      </c>
      <c r="DL285">
        <v>84</v>
      </c>
      <c r="DM285">
        <v>15</v>
      </c>
      <c r="DN285">
        <v>1</v>
      </c>
      <c r="DO285">
        <v>0</v>
      </c>
      <c r="DP285">
        <v>1</v>
      </c>
      <c r="DQ285">
        <v>2</v>
      </c>
      <c r="DR285">
        <v>1</v>
      </c>
      <c r="DS285">
        <v>2</v>
      </c>
      <c r="DT285">
        <v>1</v>
      </c>
      <c r="DU285">
        <v>0</v>
      </c>
      <c r="DV285">
        <v>107</v>
      </c>
      <c r="DW285">
        <v>18</v>
      </c>
      <c r="DX285">
        <v>0</v>
      </c>
      <c r="DY285">
        <v>10</v>
      </c>
      <c r="DZ285">
        <v>0</v>
      </c>
      <c r="EA285">
        <v>2</v>
      </c>
      <c r="EB285">
        <v>0</v>
      </c>
      <c r="EC285">
        <v>6</v>
      </c>
      <c r="ED285">
        <v>0</v>
      </c>
      <c r="EE285">
        <v>0</v>
      </c>
      <c r="EF285">
        <v>0</v>
      </c>
      <c r="EG285">
        <v>0</v>
      </c>
      <c r="EH285">
        <v>18</v>
      </c>
      <c r="EI285">
        <v>3</v>
      </c>
      <c r="EJ285">
        <v>0</v>
      </c>
      <c r="EK285">
        <v>2</v>
      </c>
      <c r="EL285">
        <v>0</v>
      </c>
      <c r="EM285">
        <v>0</v>
      </c>
      <c r="EN285">
        <v>0</v>
      </c>
      <c r="EO285">
        <v>0</v>
      </c>
      <c r="EP285">
        <v>1</v>
      </c>
      <c r="EQ285">
        <v>0</v>
      </c>
      <c r="ER285">
        <v>3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</row>
    <row r="286" spans="1:172" ht="14.25">
      <c r="A286">
        <v>281</v>
      </c>
      <c r="B286" t="str">
        <f t="shared" si="51"/>
        <v>106301</v>
      </c>
      <c r="C286" t="str">
        <f t="shared" si="52"/>
        <v>m. Skierniewice</v>
      </c>
      <c r="D286" t="str">
        <f t="shared" si="53"/>
        <v>Skierniewice</v>
      </c>
      <c r="E286" t="str">
        <f t="shared" si="50"/>
        <v>łódzkie</v>
      </c>
      <c r="F286">
        <v>18</v>
      </c>
      <c r="G286" t="str">
        <f>"Zespół Szkół Zawodowych Nr 1, ul. Pomologiczna 6, 96-100 Skierniewice"</f>
        <v>Zespół Szkół Zawodowych Nr 1, ul. Pomologiczna 6, 96-100 Skierniewice</v>
      </c>
      <c r="H286">
        <v>1329</v>
      </c>
      <c r="I286">
        <v>1329</v>
      </c>
      <c r="J286">
        <v>0</v>
      </c>
      <c r="K286">
        <v>920</v>
      </c>
      <c r="L286">
        <v>550</v>
      </c>
      <c r="M286">
        <v>370</v>
      </c>
      <c r="N286">
        <v>370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370</v>
      </c>
      <c r="Z286">
        <v>0</v>
      </c>
      <c r="AA286">
        <v>0</v>
      </c>
      <c r="AB286">
        <v>370</v>
      </c>
      <c r="AC286">
        <v>15</v>
      </c>
      <c r="AD286">
        <v>355</v>
      </c>
      <c r="AE286">
        <v>9</v>
      </c>
      <c r="AF286">
        <v>0</v>
      </c>
      <c r="AG286">
        <v>3</v>
      </c>
      <c r="AH286">
        <v>1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4</v>
      </c>
      <c r="AO286">
        <v>1</v>
      </c>
      <c r="AP286">
        <v>9</v>
      </c>
      <c r="AQ286">
        <v>2</v>
      </c>
      <c r="AR286">
        <v>2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2</v>
      </c>
      <c r="BC286">
        <v>28</v>
      </c>
      <c r="BD286">
        <v>14</v>
      </c>
      <c r="BE286">
        <v>6</v>
      </c>
      <c r="BF286">
        <v>0</v>
      </c>
      <c r="BG286">
        <v>2</v>
      </c>
      <c r="BH286">
        <v>0</v>
      </c>
      <c r="BI286">
        <v>2</v>
      </c>
      <c r="BJ286">
        <v>0</v>
      </c>
      <c r="BK286">
        <v>0</v>
      </c>
      <c r="BL286">
        <v>4</v>
      </c>
      <c r="BM286">
        <v>0</v>
      </c>
      <c r="BN286">
        <v>28</v>
      </c>
      <c r="BO286">
        <v>135</v>
      </c>
      <c r="BP286">
        <v>113</v>
      </c>
      <c r="BQ286">
        <v>6</v>
      </c>
      <c r="BR286">
        <v>4</v>
      </c>
      <c r="BS286">
        <v>4</v>
      </c>
      <c r="BT286">
        <v>1</v>
      </c>
      <c r="BU286">
        <v>1</v>
      </c>
      <c r="BV286">
        <v>0</v>
      </c>
      <c r="BW286">
        <v>1</v>
      </c>
      <c r="BX286">
        <v>0</v>
      </c>
      <c r="BY286">
        <v>5</v>
      </c>
      <c r="BZ286">
        <v>135</v>
      </c>
      <c r="CA286">
        <v>3</v>
      </c>
      <c r="CB286">
        <v>1</v>
      </c>
      <c r="CC286">
        <v>0</v>
      </c>
      <c r="CD286">
        <v>0</v>
      </c>
      <c r="CE286">
        <v>1</v>
      </c>
      <c r="CF286">
        <v>0</v>
      </c>
      <c r="CG286">
        <v>0</v>
      </c>
      <c r="CH286">
        <v>0</v>
      </c>
      <c r="CI286">
        <v>0</v>
      </c>
      <c r="CJ286">
        <v>1</v>
      </c>
      <c r="CK286">
        <v>0</v>
      </c>
      <c r="CL286">
        <v>3</v>
      </c>
      <c r="CM286">
        <v>4</v>
      </c>
      <c r="CN286">
        <v>4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4</v>
      </c>
      <c r="CY286">
        <v>22</v>
      </c>
      <c r="CZ286">
        <v>14</v>
      </c>
      <c r="DA286">
        <v>0</v>
      </c>
      <c r="DB286">
        <v>5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3</v>
      </c>
      <c r="DI286">
        <v>0</v>
      </c>
      <c r="DJ286">
        <v>22</v>
      </c>
      <c r="DK286">
        <v>126</v>
      </c>
      <c r="DL286">
        <v>91</v>
      </c>
      <c r="DM286">
        <v>22</v>
      </c>
      <c r="DN286">
        <v>1</v>
      </c>
      <c r="DO286">
        <v>1</v>
      </c>
      <c r="DP286">
        <v>2</v>
      </c>
      <c r="DQ286">
        <v>1</v>
      </c>
      <c r="DR286">
        <v>2</v>
      </c>
      <c r="DS286">
        <v>3</v>
      </c>
      <c r="DT286">
        <v>0</v>
      </c>
      <c r="DU286">
        <v>3</v>
      </c>
      <c r="DV286">
        <v>126</v>
      </c>
      <c r="DW286">
        <v>18</v>
      </c>
      <c r="DX286">
        <v>4</v>
      </c>
      <c r="DY286">
        <v>5</v>
      </c>
      <c r="DZ286">
        <v>0</v>
      </c>
      <c r="EA286">
        <v>0</v>
      </c>
      <c r="EB286">
        <v>0</v>
      </c>
      <c r="EC286">
        <v>9</v>
      </c>
      <c r="ED286">
        <v>0</v>
      </c>
      <c r="EE286">
        <v>0</v>
      </c>
      <c r="EF286">
        <v>0</v>
      </c>
      <c r="EG286">
        <v>0</v>
      </c>
      <c r="EH286">
        <v>18</v>
      </c>
      <c r="EI286">
        <v>3</v>
      </c>
      <c r="EJ286">
        <v>0</v>
      </c>
      <c r="EK286">
        <v>3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3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5</v>
      </c>
      <c r="FF286">
        <v>0</v>
      </c>
      <c r="FG286">
        <v>1</v>
      </c>
      <c r="FH286">
        <v>1</v>
      </c>
      <c r="FI286">
        <v>1</v>
      </c>
      <c r="FJ286">
        <v>2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5</v>
      </c>
    </row>
    <row r="287" spans="1:172" ht="14.25">
      <c r="A287">
        <v>282</v>
      </c>
      <c r="B287" t="str">
        <f t="shared" si="51"/>
        <v>106301</v>
      </c>
      <c r="C287" t="str">
        <f t="shared" si="52"/>
        <v>m. Skierniewice</v>
      </c>
      <c r="D287" t="str">
        <f t="shared" si="53"/>
        <v>Skierniewice</v>
      </c>
      <c r="E287" t="str">
        <f t="shared" si="50"/>
        <v>łódzkie</v>
      </c>
      <c r="F287">
        <v>19</v>
      </c>
      <c r="G287" t="str">
        <f>"Miejska Biblioteka Publiczna, ul. Mszczonowska 43 a, 96-100 Skierniewice"</f>
        <v>Miejska Biblioteka Publiczna, ul. Mszczonowska 43 a, 96-100 Skierniewice</v>
      </c>
      <c r="H287">
        <v>2105</v>
      </c>
      <c r="I287">
        <v>2105</v>
      </c>
      <c r="J287">
        <v>0</v>
      </c>
      <c r="K287">
        <v>1480</v>
      </c>
      <c r="L287">
        <v>936</v>
      </c>
      <c r="M287">
        <v>544</v>
      </c>
      <c r="N287">
        <v>544</v>
      </c>
      <c r="O287">
        <v>0</v>
      </c>
      <c r="P287">
        <v>1</v>
      </c>
      <c r="Q287">
        <v>5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544</v>
      </c>
      <c r="Z287">
        <v>0</v>
      </c>
      <c r="AA287">
        <v>0</v>
      </c>
      <c r="AB287">
        <v>544</v>
      </c>
      <c r="AC287">
        <v>25</v>
      </c>
      <c r="AD287">
        <v>519</v>
      </c>
      <c r="AE287">
        <v>7</v>
      </c>
      <c r="AF287">
        <v>3</v>
      </c>
      <c r="AG287">
        <v>0</v>
      </c>
      <c r="AH287">
        <v>1</v>
      </c>
      <c r="AI287">
        <v>1</v>
      </c>
      <c r="AJ287">
        <v>0</v>
      </c>
      <c r="AK287">
        <v>1</v>
      </c>
      <c r="AL287">
        <v>0</v>
      </c>
      <c r="AM287">
        <v>0</v>
      </c>
      <c r="AN287">
        <v>0</v>
      </c>
      <c r="AO287">
        <v>1</v>
      </c>
      <c r="AP287">
        <v>7</v>
      </c>
      <c r="AQ287">
        <v>4</v>
      </c>
      <c r="AR287">
        <v>3</v>
      </c>
      <c r="AS287">
        <v>0</v>
      </c>
      <c r="AT287">
        <v>0</v>
      </c>
      <c r="AU287">
        <v>0</v>
      </c>
      <c r="AV287">
        <v>0</v>
      </c>
      <c r="AW287">
        <v>1</v>
      </c>
      <c r="AX287">
        <v>0</v>
      </c>
      <c r="AY287">
        <v>0</v>
      </c>
      <c r="AZ287">
        <v>0</v>
      </c>
      <c r="BA287">
        <v>0</v>
      </c>
      <c r="BB287">
        <v>4</v>
      </c>
      <c r="BC287">
        <v>40</v>
      </c>
      <c r="BD287">
        <v>21</v>
      </c>
      <c r="BE287">
        <v>5</v>
      </c>
      <c r="BF287">
        <v>1</v>
      </c>
      <c r="BG287">
        <v>2</v>
      </c>
      <c r="BH287">
        <v>2</v>
      </c>
      <c r="BI287">
        <v>0</v>
      </c>
      <c r="BJ287">
        <v>2</v>
      </c>
      <c r="BK287">
        <v>1</v>
      </c>
      <c r="BL287">
        <v>0</v>
      </c>
      <c r="BM287">
        <v>6</v>
      </c>
      <c r="BN287">
        <v>40</v>
      </c>
      <c r="BO287">
        <v>204</v>
      </c>
      <c r="BP287">
        <v>189</v>
      </c>
      <c r="BQ287">
        <v>2</v>
      </c>
      <c r="BR287">
        <v>8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3</v>
      </c>
      <c r="BY287">
        <v>2</v>
      </c>
      <c r="BZ287">
        <v>204</v>
      </c>
      <c r="CA287">
        <v>21</v>
      </c>
      <c r="CB287">
        <v>2</v>
      </c>
      <c r="CC287">
        <v>1</v>
      </c>
      <c r="CD287">
        <v>4</v>
      </c>
      <c r="CE287">
        <v>0</v>
      </c>
      <c r="CF287">
        <v>1</v>
      </c>
      <c r="CG287">
        <v>0</v>
      </c>
      <c r="CH287">
        <v>3</v>
      </c>
      <c r="CI287">
        <v>0</v>
      </c>
      <c r="CJ287">
        <v>7</v>
      </c>
      <c r="CK287">
        <v>3</v>
      </c>
      <c r="CL287">
        <v>21</v>
      </c>
      <c r="CM287">
        <v>14</v>
      </c>
      <c r="CN287">
        <v>10</v>
      </c>
      <c r="CO287">
        <v>2</v>
      </c>
      <c r="CP287">
        <v>0</v>
      </c>
      <c r="CQ287">
        <v>1</v>
      </c>
      <c r="CR287">
        <v>1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14</v>
      </c>
      <c r="CY287">
        <v>35</v>
      </c>
      <c r="CZ287">
        <v>13</v>
      </c>
      <c r="DA287">
        <v>0</v>
      </c>
      <c r="DB287">
        <v>13</v>
      </c>
      <c r="DC287">
        <v>1</v>
      </c>
      <c r="DD287">
        <v>0</v>
      </c>
      <c r="DE287">
        <v>0</v>
      </c>
      <c r="DF287">
        <v>3</v>
      </c>
      <c r="DG287">
        <v>2</v>
      </c>
      <c r="DH287">
        <v>1</v>
      </c>
      <c r="DI287">
        <v>2</v>
      </c>
      <c r="DJ287">
        <v>35</v>
      </c>
      <c r="DK287">
        <v>167</v>
      </c>
      <c r="DL287">
        <v>121</v>
      </c>
      <c r="DM287">
        <v>29</v>
      </c>
      <c r="DN287">
        <v>2</v>
      </c>
      <c r="DO287">
        <v>1</v>
      </c>
      <c r="DP287">
        <v>2</v>
      </c>
      <c r="DQ287">
        <v>1</v>
      </c>
      <c r="DR287">
        <v>1</v>
      </c>
      <c r="DS287">
        <v>8</v>
      </c>
      <c r="DT287">
        <v>2</v>
      </c>
      <c r="DU287">
        <v>0</v>
      </c>
      <c r="DV287">
        <v>167</v>
      </c>
      <c r="DW287">
        <v>20</v>
      </c>
      <c r="DX287">
        <v>4</v>
      </c>
      <c r="DY287">
        <v>4</v>
      </c>
      <c r="DZ287">
        <v>0</v>
      </c>
      <c r="EA287">
        <v>2</v>
      </c>
      <c r="EB287">
        <v>0</v>
      </c>
      <c r="EC287">
        <v>8</v>
      </c>
      <c r="ED287">
        <v>0</v>
      </c>
      <c r="EE287">
        <v>0</v>
      </c>
      <c r="EF287">
        <v>0</v>
      </c>
      <c r="EG287">
        <v>2</v>
      </c>
      <c r="EH287">
        <v>20</v>
      </c>
      <c r="EI287">
        <v>3</v>
      </c>
      <c r="EJ287">
        <v>2</v>
      </c>
      <c r="EK287">
        <v>1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3</v>
      </c>
      <c r="ES287">
        <v>1</v>
      </c>
      <c r="ET287">
        <v>1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1</v>
      </c>
      <c r="FE287">
        <v>3</v>
      </c>
      <c r="FF287">
        <v>0</v>
      </c>
      <c r="FG287">
        <v>0</v>
      </c>
      <c r="FH287">
        <v>1</v>
      </c>
      <c r="FI287">
        <v>0</v>
      </c>
      <c r="FJ287">
        <v>0</v>
      </c>
      <c r="FK287">
        <v>0</v>
      </c>
      <c r="FL287">
        <v>1</v>
      </c>
      <c r="FM287">
        <v>0</v>
      </c>
      <c r="FN287">
        <v>1</v>
      </c>
      <c r="FO287">
        <v>0</v>
      </c>
      <c r="FP287">
        <v>3</v>
      </c>
    </row>
    <row r="288" spans="1:172" ht="14.25">
      <c r="A288">
        <v>283</v>
      </c>
      <c r="B288" t="str">
        <f t="shared" si="51"/>
        <v>106301</v>
      </c>
      <c r="C288" t="str">
        <f t="shared" si="52"/>
        <v>m. Skierniewice</v>
      </c>
      <c r="D288" t="str">
        <f t="shared" si="53"/>
        <v>Skierniewice</v>
      </c>
      <c r="E288" t="str">
        <f t="shared" si="50"/>
        <v>łódzkie</v>
      </c>
      <c r="F288">
        <v>20</v>
      </c>
      <c r="G288" t="str">
        <f>"Przedszkole Nr 3, ul. Mikołaja Kopernika 15, 96-100 Skierniewice"</f>
        <v>Przedszkole Nr 3, ul. Mikołaja Kopernika 15, 96-100 Skierniewice</v>
      </c>
      <c r="H288">
        <v>1247</v>
      </c>
      <c r="I288">
        <v>1247</v>
      </c>
      <c r="J288">
        <v>0</v>
      </c>
      <c r="K288">
        <v>881</v>
      </c>
      <c r="L288">
        <v>530</v>
      </c>
      <c r="M288">
        <v>351</v>
      </c>
      <c r="N288">
        <v>351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351</v>
      </c>
      <c r="Z288">
        <v>0</v>
      </c>
      <c r="AA288">
        <v>0</v>
      </c>
      <c r="AB288">
        <v>351</v>
      </c>
      <c r="AC288">
        <v>3</v>
      </c>
      <c r="AD288">
        <v>348</v>
      </c>
      <c r="AE288">
        <v>7</v>
      </c>
      <c r="AF288">
        <v>1</v>
      </c>
      <c r="AG288">
        <v>2</v>
      </c>
      <c r="AH288">
        <v>2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1</v>
      </c>
      <c r="AO288">
        <v>1</v>
      </c>
      <c r="AP288">
        <v>7</v>
      </c>
      <c r="AQ288">
        <v>1</v>
      </c>
      <c r="AR288">
        <v>0</v>
      </c>
      <c r="AS288">
        <v>0</v>
      </c>
      <c r="AT288">
        <v>0</v>
      </c>
      <c r="AU288">
        <v>0</v>
      </c>
      <c r="AV288">
        <v>1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1</v>
      </c>
      <c r="BC288">
        <v>30</v>
      </c>
      <c r="BD288">
        <v>19</v>
      </c>
      <c r="BE288">
        <v>3</v>
      </c>
      <c r="BF288">
        <v>0</v>
      </c>
      <c r="BG288">
        <v>2</v>
      </c>
      <c r="BH288">
        <v>0</v>
      </c>
      <c r="BI288">
        <v>1</v>
      </c>
      <c r="BJ288">
        <v>0</v>
      </c>
      <c r="BK288">
        <v>1</v>
      </c>
      <c r="BL288">
        <v>2</v>
      </c>
      <c r="BM288">
        <v>2</v>
      </c>
      <c r="BN288">
        <v>30</v>
      </c>
      <c r="BO288">
        <v>114</v>
      </c>
      <c r="BP288">
        <v>109</v>
      </c>
      <c r="BQ288">
        <v>2</v>
      </c>
      <c r="BR288">
        <v>0</v>
      </c>
      <c r="BS288">
        <v>0</v>
      </c>
      <c r="BT288">
        <v>0</v>
      </c>
      <c r="BU288">
        <v>1</v>
      </c>
      <c r="BV288">
        <v>0</v>
      </c>
      <c r="BW288">
        <v>0</v>
      </c>
      <c r="BX288">
        <v>0</v>
      </c>
      <c r="BY288">
        <v>2</v>
      </c>
      <c r="BZ288">
        <v>114</v>
      </c>
      <c r="CA288">
        <v>5</v>
      </c>
      <c r="CB288">
        <v>1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4</v>
      </c>
      <c r="CK288">
        <v>0</v>
      </c>
      <c r="CL288">
        <v>5</v>
      </c>
      <c r="CM288">
        <v>14</v>
      </c>
      <c r="CN288">
        <v>3</v>
      </c>
      <c r="CO288">
        <v>3</v>
      </c>
      <c r="CP288">
        <v>4</v>
      </c>
      <c r="CQ288">
        <v>0</v>
      </c>
      <c r="CR288">
        <v>0</v>
      </c>
      <c r="CS288">
        <v>0</v>
      </c>
      <c r="CT288">
        <v>0</v>
      </c>
      <c r="CU288">
        <v>2</v>
      </c>
      <c r="CV288">
        <v>0</v>
      </c>
      <c r="CW288">
        <v>2</v>
      </c>
      <c r="CX288">
        <v>14</v>
      </c>
      <c r="CY288">
        <v>25</v>
      </c>
      <c r="CZ288">
        <v>20</v>
      </c>
      <c r="DA288">
        <v>0</v>
      </c>
      <c r="DB288">
        <v>5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25</v>
      </c>
      <c r="DK288">
        <v>137</v>
      </c>
      <c r="DL288">
        <v>99</v>
      </c>
      <c r="DM288">
        <v>28</v>
      </c>
      <c r="DN288">
        <v>1</v>
      </c>
      <c r="DO288">
        <v>1</v>
      </c>
      <c r="DP288">
        <v>2</v>
      </c>
      <c r="DQ288">
        <v>0</v>
      </c>
      <c r="DR288">
        <v>1</v>
      </c>
      <c r="DS288">
        <v>3</v>
      </c>
      <c r="DT288">
        <v>0</v>
      </c>
      <c r="DU288">
        <v>2</v>
      </c>
      <c r="DV288">
        <v>137</v>
      </c>
      <c r="DW288">
        <v>12</v>
      </c>
      <c r="DX288">
        <v>1</v>
      </c>
      <c r="DY288">
        <v>4</v>
      </c>
      <c r="DZ288">
        <v>0</v>
      </c>
      <c r="EA288">
        <v>0</v>
      </c>
      <c r="EB288">
        <v>0</v>
      </c>
      <c r="EC288">
        <v>6</v>
      </c>
      <c r="ED288">
        <v>0</v>
      </c>
      <c r="EE288">
        <v>1</v>
      </c>
      <c r="EF288">
        <v>0</v>
      </c>
      <c r="EG288">
        <v>0</v>
      </c>
      <c r="EH288">
        <v>12</v>
      </c>
      <c r="EI288">
        <v>2</v>
      </c>
      <c r="EJ288">
        <v>1</v>
      </c>
      <c r="EK288">
        <v>1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2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1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1</v>
      </c>
      <c r="FP288">
        <v>1</v>
      </c>
    </row>
    <row r="289" spans="1:172" ht="14.25">
      <c r="A289">
        <v>284</v>
      </c>
      <c r="B289" t="str">
        <f t="shared" si="51"/>
        <v>106301</v>
      </c>
      <c r="C289" t="str">
        <f t="shared" si="52"/>
        <v>m. Skierniewice</v>
      </c>
      <c r="D289" t="str">
        <f t="shared" si="53"/>
        <v>Skierniewice</v>
      </c>
      <c r="E289" t="str">
        <f t="shared" si="50"/>
        <v>łódzkie</v>
      </c>
      <c r="F289">
        <v>21</v>
      </c>
      <c r="G289" t="str">
        <f>"Gimnazium Nr 3, ul. Jana Kilińskiego 9, 96-100 Skierniewice"</f>
        <v>Gimnazium Nr 3, ul. Jana Kilińskiego 9, 96-100 Skierniewice</v>
      </c>
      <c r="H289">
        <v>2031</v>
      </c>
      <c r="I289">
        <v>2031</v>
      </c>
      <c r="J289">
        <v>0</v>
      </c>
      <c r="K289">
        <v>1420</v>
      </c>
      <c r="L289">
        <v>983</v>
      </c>
      <c r="M289">
        <v>437</v>
      </c>
      <c r="N289">
        <v>437</v>
      </c>
      <c r="O289">
        <v>0</v>
      </c>
      <c r="P289">
        <v>0</v>
      </c>
      <c r="Q289">
        <v>5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437</v>
      </c>
      <c r="Z289">
        <v>0</v>
      </c>
      <c r="AA289">
        <v>0</v>
      </c>
      <c r="AB289">
        <v>437</v>
      </c>
      <c r="AC289">
        <v>8</v>
      </c>
      <c r="AD289">
        <v>429</v>
      </c>
      <c r="AE289">
        <v>12</v>
      </c>
      <c r="AF289">
        <v>4</v>
      </c>
      <c r="AG289">
        <v>1</v>
      </c>
      <c r="AH289">
        <v>3</v>
      </c>
      <c r="AI289">
        <v>0</v>
      </c>
      <c r="AJ289">
        <v>1</v>
      </c>
      <c r="AK289">
        <v>0</v>
      </c>
      <c r="AL289">
        <v>0</v>
      </c>
      <c r="AM289">
        <v>1</v>
      </c>
      <c r="AN289">
        <v>1</v>
      </c>
      <c r="AO289">
        <v>1</v>
      </c>
      <c r="AP289">
        <v>12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23</v>
      </c>
      <c r="BD289">
        <v>12</v>
      </c>
      <c r="BE289">
        <v>2</v>
      </c>
      <c r="BF289">
        <v>3</v>
      </c>
      <c r="BG289">
        <v>0</v>
      </c>
      <c r="BH289">
        <v>0</v>
      </c>
      <c r="BI289">
        <v>2</v>
      </c>
      <c r="BJ289">
        <v>1</v>
      </c>
      <c r="BK289">
        <v>1</v>
      </c>
      <c r="BL289">
        <v>0</v>
      </c>
      <c r="BM289">
        <v>2</v>
      </c>
      <c r="BN289">
        <v>23</v>
      </c>
      <c r="BO289">
        <v>186</v>
      </c>
      <c r="BP289">
        <v>165</v>
      </c>
      <c r="BQ289">
        <v>6</v>
      </c>
      <c r="BR289">
        <v>3</v>
      </c>
      <c r="BS289">
        <v>1</v>
      </c>
      <c r="BT289">
        <v>1</v>
      </c>
      <c r="BU289">
        <v>1</v>
      </c>
      <c r="BV289">
        <v>0</v>
      </c>
      <c r="BW289">
        <v>3</v>
      </c>
      <c r="BX289">
        <v>1</v>
      </c>
      <c r="BY289">
        <v>5</v>
      </c>
      <c r="BZ289">
        <v>186</v>
      </c>
      <c r="CA289">
        <v>3</v>
      </c>
      <c r="CB289">
        <v>2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1</v>
      </c>
      <c r="CK289">
        <v>0</v>
      </c>
      <c r="CL289">
        <v>3</v>
      </c>
      <c r="CM289">
        <v>14</v>
      </c>
      <c r="CN289">
        <v>12</v>
      </c>
      <c r="CO289">
        <v>0</v>
      </c>
      <c r="CP289">
        <v>1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1</v>
      </c>
      <c r="CX289">
        <v>14</v>
      </c>
      <c r="CY289">
        <v>38</v>
      </c>
      <c r="CZ289">
        <v>21</v>
      </c>
      <c r="DA289">
        <v>4</v>
      </c>
      <c r="DB289">
        <v>11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1</v>
      </c>
      <c r="DI289">
        <v>1</v>
      </c>
      <c r="DJ289">
        <v>38</v>
      </c>
      <c r="DK289">
        <v>115</v>
      </c>
      <c r="DL289">
        <v>86</v>
      </c>
      <c r="DM289">
        <v>22</v>
      </c>
      <c r="DN289">
        <v>1</v>
      </c>
      <c r="DO289">
        <v>0</v>
      </c>
      <c r="DP289">
        <v>0</v>
      </c>
      <c r="DQ289">
        <v>0</v>
      </c>
      <c r="DR289">
        <v>0</v>
      </c>
      <c r="DS289">
        <v>3</v>
      </c>
      <c r="DT289">
        <v>0</v>
      </c>
      <c r="DU289">
        <v>3</v>
      </c>
      <c r="DV289">
        <v>115</v>
      </c>
      <c r="DW289">
        <v>33</v>
      </c>
      <c r="DX289">
        <v>0</v>
      </c>
      <c r="DY289">
        <v>14</v>
      </c>
      <c r="DZ289">
        <v>0</v>
      </c>
      <c r="EA289">
        <v>1</v>
      </c>
      <c r="EB289">
        <v>0</v>
      </c>
      <c r="EC289">
        <v>13</v>
      </c>
      <c r="ED289">
        <v>0</v>
      </c>
      <c r="EE289">
        <v>1</v>
      </c>
      <c r="EF289">
        <v>1</v>
      </c>
      <c r="EG289">
        <v>3</v>
      </c>
      <c r="EH289">
        <v>33</v>
      </c>
      <c r="EI289">
        <v>2</v>
      </c>
      <c r="EJ289">
        <v>0</v>
      </c>
      <c r="EK289">
        <v>2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2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3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2</v>
      </c>
      <c r="FN289">
        <v>0</v>
      </c>
      <c r="FO289">
        <v>1</v>
      </c>
      <c r="FP289">
        <v>3</v>
      </c>
    </row>
    <row r="290" spans="1:172" ht="14.25">
      <c r="A290">
        <v>285</v>
      </c>
      <c r="B290" t="str">
        <f t="shared" si="51"/>
        <v>106301</v>
      </c>
      <c r="C290" t="str">
        <f t="shared" si="52"/>
        <v>m. Skierniewice</v>
      </c>
      <c r="D290" t="str">
        <f t="shared" si="53"/>
        <v>Skierniewice</v>
      </c>
      <c r="E290" t="str">
        <f t="shared" si="50"/>
        <v>łódzkie</v>
      </c>
      <c r="F290">
        <v>22</v>
      </c>
      <c r="G290" t="str">
        <f>"Urząd Stanu Cywilnego, ul. Piłsudskiego 2, 96-100 Skierniewice"</f>
        <v>Urząd Stanu Cywilnego, ul. Piłsudskiego 2, 96-100 Skierniewice</v>
      </c>
      <c r="H290">
        <v>1348</v>
      </c>
      <c r="I290">
        <v>1348</v>
      </c>
      <c r="J290">
        <v>0</v>
      </c>
      <c r="K290">
        <v>940</v>
      </c>
      <c r="L290">
        <v>650</v>
      </c>
      <c r="M290">
        <v>290</v>
      </c>
      <c r="N290">
        <v>290</v>
      </c>
      <c r="O290">
        <v>0</v>
      </c>
      <c r="P290">
        <v>0</v>
      </c>
      <c r="Q290">
        <v>1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290</v>
      </c>
      <c r="Z290">
        <v>0</v>
      </c>
      <c r="AA290">
        <v>0</v>
      </c>
      <c r="AB290">
        <v>290</v>
      </c>
      <c r="AC290">
        <v>6</v>
      </c>
      <c r="AD290">
        <v>284</v>
      </c>
      <c r="AE290">
        <v>7</v>
      </c>
      <c r="AF290">
        <v>5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1</v>
      </c>
      <c r="AM290">
        <v>0</v>
      </c>
      <c r="AN290">
        <v>1</v>
      </c>
      <c r="AO290">
        <v>0</v>
      </c>
      <c r="AP290">
        <v>7</v>
      </c>
      <c r="AQ290">
        <v>4</v>
      </c>
      <c r="AR290">
        <v>3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1</v>
      </c>
      <c r="BB290">
        <v>4</v>
      </c>
      <c r="BC290">
        <v>11</v>
      </c>
      <c r="BD290">
        <v>8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3</v>
      </c>
      <c r="BN290">
        <v>11</v>
      </c>
      <c r="BO290">
        <v>153</v>
      </c>
      <c r="BP290">
        <v>137</v>
      </c>
      <c r="BQ290">
        <v>6</v>
      </c>
      <c r="BR290">
        <v>6</v>
      </c>
      <c r="BS290">
        <v>0</v>
      </c>
      <c r="BT290">
        <v>1</v>
      </c>
      <c r="BU290">
        <v>0</v>
      </c>
      <c r="BV290">
        <v>2</v>
      </c>
      <c r="BW290">
        <v>1</v>
      </c>
      <c r="BX290">
        <v>0</v>
      </c>
      <c r="BY290">
        <v>0</v>
      </c>
      <c r="BZ290">
        <v>153</v>
      </c>
      <c r="CA290">
        <v>11</v>
      </c>
      <c r="CB290">
        <v>4</v>
      </c>
      <c r="CC290">
        <v>1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1</v>
      </c>
      <c r="CJ290">
        <v>4</v>
      </c>
      <c r="CK290">
        <v>1</v>
      </c>
      <c r="CL290">
        <v>11</v>
      </c>
      <c r="CM290">
        <v>10</v>
      </c>
      <c r="CN290">
        <v>6</v>
      </c>
      <c r="CO290">
        <v>1</v>
      </c>
      <c r="CP290">
        <v>0</v>
      </c>
      <c r="CQ290">
        <v>3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10</v>
      </c>
      <c r="CY290">
        <v>23</v>
      </c>
      <c r="CZ290">
        <v>9</v>
      </c>
      <c r="DA290">
        <v>0</v>
      </c>
      <c r="DB290">
        <v>10</v>
      </c>
      <c r="DC290">
        <v>0</v>
      </c>
      <c r="DD290">
        <v>0</v>
      </c>
      <c r="DE290">
        <v>0</v>
      </c>
      <c r="DF290">
        <v>0</v>
      </c>
      <c r="DG290">
        <v>3</v>
      </c>
      <c r="DH290">
        <v>1</v>
      </c>
      <c r="DI290">
        <v>0</v>
      </c>
      <c r="DJ290">
        <v>23</v>
      </c>
      <c r="DK290">
        <v>51</v>
      </c>
      <c r="DL290">
        <v>30</v>
      </c>
      <c r="DM290">
        <v>13</v>
      </c>
      <c r="DN290">
        <v>3</v>
      </c>
      <c r="DO290">
        <v>0</v>
      </c>
      <c r="DP290">
        <v>0</v>
      </c>
      <c r="DQ290">
        <v>0</v>
      </c>
      <c r="DR290">
        <v>0</v>
      </c>
      <c r="DS290">
        <v>1</v>
      </c>
      <c r="DT290">
        <v>1</v>
      </c>
      <c r="DU290">
        <v>3</v>
      </c>
      <c r="DV290">
        <v>51</v>
      </c>
      <c r="DW290">
        <v>12</v>
      </c>
      <c r="DX290">
        <v>1</v>
      </c>
      <c r="DY290">
        <v>4</v>
      </c>
      <c r="DZ290">
        <v>0</v>
      </c>
      <c r="EA290">
        <v>1</v>
      </c>
      <c r="EB290">
        <v>1</v>
      </c>
      <c r="EC290">
        <v>2</v>
      </c>
      <c r="ED290">
        <v>1</v>
      </c>
      <c r="EE290">
        <v>1</v>
      </c>
      <c r="EF290">
        <v>0</v>
      </c>
      <c r="EG290">
        <v>1</v>
      </c>
      <c r="EH290">
        <v>12</v>
      </c>
      <c r="EI290">
        <v>1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1</v>
      </c>
      <c r="EQ290">
        <v>0</v>
      </c>
      <c r="ER290">
        <v>1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1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1</v>
      </c>
      <c r="FP290">
        <v>1</v>
      </c>
    </row>
    <row r="291" spans="1:172" ht="14.25">
      <c r="A291">
        <v>286</v>
      </c>
      <c r="B291" t="str">
        <f t="shared" si="51"/>
        <v>106301</v>
      </c>
      <c r="C291" t="str">
        <f t="shared" si="52"/>
        <v>m. Skierniewice</v>
      </c>
      <c r="D291" t="str">
        <f t="shared" si="53"/>
        <v>Skierniewice</v>
      </c>
      <c r="E291" t="str">
        <f t="shared" si="50"/>
        <v>łódzkie</v>
      </c>
      <c r="F291">
        <v>23</v>
      </c>
      <c r="G291" t="str">
        <f>"FERROXCUBE POLSKA Sp. z o.o., ul. Zwierzyniecka 2, 96-100 Skierniewice"</f>
        <v>FERROXCUBE POLSKA Sp. z o.o., ul. Zwierzyniecka 2, 96-100 Skierniewice</v>
      </c>
      <c r="H291">
        <v>1156</v>
      </c>
      <c r="I291">
        <v>1156</v>
      </c>
      <c r="J291">
        <v>0</v>
      </c>
      <c r="K291">
        <v>810</v>
      </c>
      <c r="L291">
        <v>455</v>
      </c>
      <c r="M291">
        <v>355</v>
      </c>
      <c r="N291">
        <v>355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355</v>
      </c>
      <c r="Z291">
        <v>0</v>
      </c>
      <c r="AA291">
        <v>0</v>
      </c>
      <c r="AB291">
        <v>355</v>
      </c>
      <c r="AC291">
        <v>4</v>
      </c>
      <c r="AD291">
        <v>351</v>
      </c>
      <c r="AE291">
        <v>9</v>
      </c>
      <c r="AF291">
        <v>2</v>
      </c>
      <c r="AG291">
        <v>0</v>
      </c>
      <c r="AH291">
        <v>0</v>
      </c>
      <c r="AI291">
        <v>3</v>
      </c>
      <c r="AJ291">
        <v>1</v>
      </c>
      <c r="AK291">
        <v>1</v>
      </c>
      <c r="AL291">
        <v>1</v>
      </c>
      <c r="AM291">
        <v>0</v>
      </c>
      <c r="AN291">
        <v>0</v>
      </c>
      <c r="AO291">
        <v>1</v>
      </c>
      <c r="AP291">
        <v>9</v>
      </c>
      <c r="AQ291">
        <v>5</v>
      </c>
      <c r="AR291">
        <v>2</v>
      </c>
      <c r="AS291">
        <v>0</v>
      </c>
      <c r="AT291">
        <v>0</v>
      </c>
      <c r="AU291">
        <v>0</v>
      </c>
      <c r="AV291">
        <v>1</v>
      </c>
      <c r="AW291">
        <v>0</v>
      </c>
      <c r="AX291">
        <v>2</v>
      </c>
      <c r="AY291">
        <v>0</v>
      </c>
      <c r="AZ291">
        <v>0</v>
      </c>
      <c r="BA291">
        <v>0</v>
      </c>
      <c r="BB291">
        <v>5</v>
      </c>
      <c r="BC291">
        <v>14</v>
      </c>
      <c r="BD291">
        <v>4</v>
      </c>
      <c r="BE291">
        <v>5</v>
      </c>
      <c r="BF291">
        <v>0</v>
      </c>
      <c r="BG291">
        <v>1</v>
      </c>
      <c r="BH291">
        <v>0</v>
      </c>
      <c r="BI291">
        <v>3</v>
      </c>
      <c r="BJ291">
        <v>0</v>
      </c>
      <c r="BK291">
        <v>0</v>
      </c>
      <c r="BL291">
        <v>0</v>
      </c>
      <c r="BM291">
        <v>1</v>
      </c>
      <c r="BN291">
        <v>14</v>
      </c>
      <c r="BO291">
        <v>141</v>
      </c>
      <c r="BP291">
        <v>125</v>
      </c>
      <c r="BQ291">
        <v>2</v>
      </c>
      <c r="BR291">
        <v>4</v>
      </c>
      <c r="BS291">
        <v>0</v>
      </c>
      <c r="BT291">
        <v>3</v>
      </c>
      <c r="BU291">
        <v>1</v>
      </c>
      <c r="BV291">
        <v>0</v>
      </c>
      <c r="BW291">
        <v>4</v>
      </c>
      <c r="BX291">
        <v>2</v>
      </c>
      <c r="BY291">
        <v>0</v>
      </c>
      <c r="BZ291">
        <v>141</v>
      </c>
      <c r="CA291">
        <v>7</v>
      </c>
      <c r="CB291">
        <v>1</v>
      </c>
      <c r="CC291">
        <v>0</v>
      </c>
      <c r="CD291">
        <v>0</v>
      </c>
      <c r="CE291">
        <v>1</v>
      </c>
      <c r="CF291">
        <v>0</v>
      </c>
      <c r="CG291">
        <v>1</v>
      </c>
      <c r="CH291">
        <v>0</v>
      </c>
      <c r="CI291">
        <v>0</v>
      </c>
      <c r="CJ291">
        <v>3</v>
      </c>
      <c r="CK291">
        <v>1</v>
      </c>
      <c r="CL291">
        <v>7</v>
      </c>
      <c r="CM291">
        <v>9</v>
      </c>
      <c r="CN291">
        <v>9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9</v>
      </c>
      <c r="CY291">
        <v>25</v>
      </c>
      <c r="CZ291">
        <v>10</v>
      </c>
      <c r="DA291">
        <v>1</v>
      </c>
      <c r="DB291">
        <v>9</v>
      </c>
      <c r="DC291">
        <v>1</v>
      </c>
      <c r="DD291">
        <v>1</v>
      </c>
      <c r="DE291">
        <v>1</v>
      </c>
      <c r="DF291">
        <v>0</v>
      </c>
      <c r="DG291">
        <v>0</v>
      </c>
      <c r="DH291">
        <v>2</v>
      </c>
      <c r="DI291">
        <v>0</v>
      </c>
      <c r="DJ291">
        <v>25</v>
      </c>
      <c r="DK291">
        <v>110</v>
      </c>
      <c r="DL291">
        <v>77</v>
      </c>
      <c r="DM291">
        <v>21</v>
      </c>
      <c r="DN291">
        <v>1</v>
      </c>
      <c r="DO291">
        <v>2</v>
      </c>
      <c r="DP291">
        <v>1</v>
      </c>
      <c r="DQ291">
        <v>1</v>
      </c>
      <c r="DR291">
        <v>2</v>
      </c>
      <c r="DS291">
        <v>4</v>
      </c>
      <c r="DT291">
        <v>0</v>
      </c>
      <c r="DU291">
        <v>1</v>
      </c>
      <c r="DV291">
        <v>110</v>
      </c>
      <c r="DW291">
        <v>23</v>
      </c>
      <c r="DX291">
        <v>0</v>
      </c>
      <c r="DY291">
        <v>17</v>
      </c>
      <c r="DZ291">
        <v>0</v>
      </c>
      <c r="EA291">
        <v>0</v>
      </c>
      <c r="EB291">
        <v>0</v>
      </c>
      <c r="EC291">
        <v>3</v>
      </c>
      <c r="ED291">
        <v>0</v>
      </c>
      <c r="EE291">
        <v>0</v>
      </c>
      <c r="EF291">
        <v>2</v>
      </c>
      <c r="EG291">
        <v>1</v>
      </c>
      <c r="EH291">
        <v>23</v>
      </c>
      <c r="EI291">
        <v>4</v>
      </c>
      <c r="EJ291">
        <v>3</v>
      </c>
      <c r="EK291">
        <v>1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4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4</v>
      </c>
      <c r="FF291">
        <v>2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1</v>
      </c>
      <c r="FN291">
        <v>0</v>
      </c>
      <c r="FO291">
        <v>1</v>
      </c>
      <c r="FP291">
        <v>4</v>
      </c>
    </row>
    <row r="292" spans="1:172" ht="14.25">
      <c r="A292">
        <v>287</v>
      </c>
      <c r="B292" t="str">
        <f t="shared" si="51"/>
        <v>106301</v>
      </c>
      <c r="C292" t="str">
        <f t="shared" si="52"/>
        <v>m. Skierniewice</v>
      </c>
      <c r="D292" t="str">
        <f t="shared" si="53"/>
        <v>Skierniewice</v>
      </c>
      <c r="E292" t="str">
        <f t="shared" si="50"/>
        <v>łódzkie</v>
      </c>
      <c r="F292">
        <v>24</v>
      </c>
      <c r="G292" t="str">
        <f>"ul. Łódzka 36, 96-100 Skierniewice"</f>
        <v>ul. Łódzka 36, 96-100 Skierniewice</v>
      </c>
      <c r="H292">
        <v>1063</v>
      </c>
      <c r="I292">
        <v>1063</v>
      </c>
      <c r="J292">
        <v>0</v>
      </c>
      <c r="K292">
        <v>749</v>
      </c>
      <c r="L292">
        <v>536</v>
      </c>
      <c r="M292">
        <v>213</v>
      </c>
      <c r="N292">
        <v>213</v>
      </c>
      <c r="O292">
        <v>0</v>
      </c>
      <c r="P292">
        <v>0</v>
      </c>
      <c r="Q292">
        <v>3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213</v>
      </c>
      <c r="Z292">
        <v>0</v>
      </c>
      <c r="AA292">
        <v>0</v>
      </c>
      <c r="AB292">
        <v>213</v>
      </c>
      <c r="AC292">
        <v>4</v>
      </c>
      <c r="AD292">
        <v>209</v>
      </c>
      <c r="AE292">
        <v>6</v>
      </c>
      <c r="AF292">
        <v>0</v>
      </c>
      <c r="AG292">
        <v>0</v>
      </c>
      <c r="AH292">
        <v>5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1</v>
      </c>
      <c r="AP292">
        <v>6</v>
      </c>
      <c r="AQ292">
        <v>9</v>
      </c>
      <c r="AR292">
        <v>6</v>
      </c>
      <c r="AS292">
        <v>1</v>
      </c>
      <c r="AT292">
        <v>0</v>
      </c>
      <c r="AU292">
        <v>1</v>
      </c>
      <c r="AV292">
        <v>0</v>
      </c>
      <c r="AW292">
        <v>0</v>
      </c>
      <c r="AX292">
        <v>0</v>
      </c>
      <c r="AY292">
        <v>0</v>
      </c>
      <c r="AZ292">
        <v>1</v>
      </c>
      <c r="BA292">
        <v>0</v>
      </c>
      <c r="BB292">
        <v>9</v>
      </c>
      <c r="BC292">
        <v>14</v>
      </c>
      <c r="BD292">
        <v>3</v>
      </c>
      <c r="BE292">
        <v>6</v>
      </c>
      <c r="BF292">
        <v>1</v>
      </c>
      <c r="BG292">
        <v>1</v>
      </c>
      <c r="BH292">
        <v>2</v>
      </c>
      <c r="BI292">
        <v>0</v>
      </c>
      <c r="BJ292">
        <v>0</v>
      </c>
      <c r="BK292">
        <v>0</v>
      </c>
      <c r="BL292">
        <v>0</v>
      </c>
      <c r="BM292">
        <v>1</v>
      </c>
      <c r="BN292">
        <v>14</v>
      </c>
      <c r="BO292">
        <v>83</v>
      </c>
      <c r="BP292">
        <v>78</v>
      </c>
      <c r="BQ292">
        <v>0</v>
      </c>
      <c r="BR292">
        <v>1</v>
      </c>
      <c r="BS292">
        <v>2</v>
      </c>
      <c r="BT292">
        <v>1</v>
      </c>
      <c r="BU292">
        <v>0</v>
      </c>
      <c r="BV292">
        <v>0</v>
      </c>
      <c r="BW292">
        <v>0</v>
      </c>
      <c r="BX292">
        <v>0</v>
      </c>
      <c r="BY292">
        <v>1</v>
      </c>
      <c r="BZ292">
        <v>83</v>
      </c>
      <c r="CA292">
        <v>1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1</v>
      </c>
      <c r="CK292">
        <v>0</v>
      </c>
      <c r="CL292">
        <v>1</v>
      </c>
      <c r="CM292">
        <v>4</v>
      </c>
      <c r="CN292">
        <v>3</v>
      </c>
      <c r="CO292">
        <v>0</v>
      </c>
      <c r="CP292">
        <v>1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4</v>
      </c>
      <c r="CY292">
        <v>20</v>
      </c>
      <c r="CZ292">
        <v>14</v>
      </c>
      <c r="DA292">
        <v>2</v>
      </c>
      <c r="DB292">
        <v>2</v>
      </c>
      <c r="DC292">
        <v>2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20</v>
      </c>
      <c r="DK292">
        <v>57</v>
      </c>
      <c r="DL292">
        <v>42</v>
      </c>
      <c r="DM292">
        <v>11</v>
      </c>
      <c r="DN292">
        <v>0</v>
      </c>
      <c r="DO292">
        <v>0</v>
      </c>
      <c r="DP292">
        <v>0</v>
      </c>
      <c r="DQ292">
        <v>1</v>
      </c>
      <c r="DR292">
        <v>1</v>
      </c>
      <c r="DS292">
        <v>0</v>
      </c>
      <c r="DT292">
        <v>0</v>
      </c>
      <c r="DU292">
        <v>2</v>
      </c>
      <c r="DV292">
        <v>57</v>
      </c>
      <c r="DW292">
        <v>12</v>
      </c>
      <c r="DX292">
        <v>1</v>
      </c>
      <c r="DY292">
        <v>7</v>
      </c>
      <c r="DZ292">
        <v>0</v>
      </c>
      <c r="EA292">
        <v>0</v>
      </c>
      <c r="EB292">
        <v>1</v>
      </c>
      <c r="EC292">
        <v>3</v>
      </c>
      <c r="ED292">
        <v>0</v>
      </c>
      <c r="EE292">
        <v>0</v>
      </c>
      <c r="EF292">
        <v>0</v>
      </c>
      <c r="EG292">
        <v>0</v>
      </c>
      <c r="EH292">
        <v>12</v>
      </c>
      <c r="EI292">
        <v>3</v>
      </c>
      <c r="EJ292">
        <v>1</v>
      </c>
      <c r="EK292">
        <v>1</v>
      </c>
      <c r="EL292">
        <v>0</v>
      </c>
      <c r="EM292">
        <v>0</v>
      </c>
      <c r="EN292">
        <v>0</v>
      </c>
      <c r="EO292">
        <v>0</v>
      </c>
      <c r="EP292">
        <v>1</v>
      </c>
      <c r="EQ292">
        <v>0</v>
      </c>
      <c r="ER292">
        <v>3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</row>
    <row r="293" spans="1:172" ht="14.25">
      <c r="A293">
        <v>288</v>
      </c>
      <c r="B293" t="str">
        <f t="shared" si="51"/>
        <v>106301</v>
      </c>
      <c r="C293" t="str">
        <f t="shared" si="52"/>
        <v>m. Skierniewice</v>
      </c>
      <c r="D293" t="str">
        <f t="shared" si="53"/>
        <v>Skierniewice</v>
      </c>
      <c r="E293" t="str">
        <f t="shared" si="50"/>
        <v>łódzkie</v>
      </c>
      <c r="F293">
        <v>25</v>
      </c>
      <c r="G293" t="str">
        <f>"Przedszkole Nr 1, Stefana Batorego 61/63, 96-100 Skierniewice"</f>
        <v>Przedszkole Nr 1, Stefana Batorego 61/63, 96-100 Skierniewice</v>
      </c>
      <c r="H293">
        <v>2213</v>
      </c>
      <c r="I293">
        <v>2213</v>
      </c>
      <c r="J293">
        <v>0</v>
      </c>
      <c r="K293">
        <v>1560</v>
      </c>
      <c r="L293">
        <v>1056</v>
      </c>
      <c r="M293">
        <v>504</v>
      </c>
      <c r="N293">
        <v>504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504</v>
      </c>
      <c r="Z293">
        <v>0</v>
      </c>
      <c r="AA293">
        <v>0</v>
      </c>
      <c r="AB293">
        <v>504</v>
      </c>
      <c r="AC293">
        <v>9</v>
      </c>
      <c r="AD293">
        <v>495</v>
      </c>
      <c r="AE293">
        <v>8</v>
      </c>
      <c r="AF293">
        <v>4</v>
      </c>
      <c r="AG293">
        <v>0</v>
      </c>
      <c r="AH293">
        <v>1</v>
      </c>
      <c r="AI293">
        <v>0</v>
      </c>
      <c r="AJ293">
        <v>1</v>
      </c>
      <c r="AK293">
        <v>1</v>
      </c>
      <c r="AL293">
        <v>0</v>
      </c>
      <c r="AM293">
        <v>0</v>
      </c>
      <c r="AN293">
        <v>1</v>
      </c>
      <c r="AO293">
        <v>0</v>
      </c>
      <c r="AP293">
        <v>8</v>
      </c>
      <c r="AQ293">
        <v>4</v>
      </c>
      <c r="AR293">
        <v>3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1</v>
      </c>
      <c r="BB293">
        <v>4</v>
      </c>
      <c r="BC293">
        <v>30</v>
      </c>
      <c r="BD293">
        <v>13</v>
      </c>
      <c r="BE293">
        <v>7</v>
      </c>
      <c r="BF293">
        <v>2</v>
      </c>
      <c r="BG293">
        <v>0</v>
      </c>
      <c r="BH293">
        <v>1</v>
      </c>
      <c r="BI293">
        <v>1</v>
      </c>
      <c r="BJ293">
        <v>1</v>
      </c>
      <c r="BK293">
        <v>0</v>
      </c>
      <c r="BL293">
        <v>1</v>
      </c>
      <c r="BM293">
        <v>4</v>
      </c>
      <c r="BN293">
        <v>30</v>
      </c>
      <c r="BO293">
        <v>202</v>
      </c>
      <c r="BP293">
        <v>177</v>
      </c>
      <c r="BQ293">
        <v>5</v>
      </c>
      <c r="BR293">
        <v>5</v>
      </c>
      <c r="BS293">
        <v>5</v>
      </c>
      <c r="BT293">
        <v>2</v>
      </c>
      <c r="BU293">
        <v>4</v>
      </c>
      <c r="BV293">
        <v>0</v>
      </c>
      <c r="BW293">
        <v>1</v>
      </c>
      <c r="BX293">
        <v>1</v>
      </c>
      <c r="BY293">
        <v>2</v>
      </c>
      <c r="BZ293">
        <v>202</v>
      </c>
      <c r="CA293">
        <v>7</v>
      </c>
      <c r="CB293">
        <v>2</v>
      </c>
      <c r="CC293">
        <v>1</v>
      </c>
      <c r="CD293">
        <v>1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2</v>
      </c>
      <c r="CK293">
        <v>1</v>
      </c>
      <c r="CL293">
        <v>7</v>
      </c>
      <c r="CM293">
        <v>20</v>
      </c>
      <c r="CN293">
        <v>17</v>
      </c>
      <c r="CO293">
        <v>2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1</v>
      </c>
      <c r="CW293">
        <v>0</v>
      </c>
      <c r="CX293">
        <v>20</v>
      </c>
      <c r="CY293">
        <v>61</v>
      </c>
      <c r="CZ293">
        <v>37</v>
      </c>
      <c r="DA293">
        <v>2</v>
      </c>
      <c r="DB293">
        <v>16</v>
      </c>
      <c r="DC293">
        <v>3</v>
      </c>
      <c r="DD293">
        <v>0</v>
      </c>
      <c r="DE293">
        <v>0</v>
      </c>
      <c r="DF293">
        <v>0</v>
      </c>
      <c r="DG293">
        <v>1</v>
      </c>
      <c r="DH293">
        <v>0</v>
      </c>
      <c r="DI293">
        <v>2</v>
      </c>
      <c r="DJ293">
        <v>61</v>
      </c>
      <c r="DK293">
        <v>125</v>
      </c>
      <c r="DL293">
        <v>93</v>
      </c>
      <c r="DM293">
        <v>22</v>
      </c>
      <c r="DN293">
        <v>2</v>
      </c>
      <c r="DO293">
        <v>1</v>
      </c>
      <c r="DP293">
        <v>0</v>
      </c>
      <c r="DQ293">
        <v>1</v>
      </c>
      <c r="DR293">
        <v>2</v>
      </c>
      <c r="DS293">
        <v>2</v>
      </c>
      <c r="DT293">
        <v>0</v>
      </c>
      <c r="DU293">
        <v>2</v>
      </c>
      <c r="DV293">
        <v>125</v>
      </c>
      <c r="DW293">
        <v>32</v>
      </c>
      <c r="DX293">
        <v>3</v>
      </c>
      <c r="DY293">
        <v>14</v>
      </c>
      <c r="DZ293">
        <v>0</v>
      </c>
      <c r="EA293">
        <v>3</v>
      </c>
      <c r="EB293">
        <v>1</v>
      </c>
      <c r="EC293">
        <v>10</v>
      </c>
      <c r="ED293">
        <v>1</v>
      </c>
      <c r="EE293">
        <v>0</v>
      </c>
      <c r="EF293">
        <v>0</v>
      </c>
      <c r="EG293">
        <v>0</v>
      </c>
      <c r="EH293">
        <v>32</v>
      </c>
      <c r="EI293">
        <v>1</v>
      </c>
      <c r="EJ293">
        <v>0</v>
      </c>
      <c r="EK293">
        <v>1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1</v>
      </c>
      <c r="ES293">
        <v>1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1</v>
      </c>
      <c r="FB293">
        <v>0</v>
      </c>
      <c r="FC293">
        <v>0</v>
      </c>
      <c r="FD293">
        <v>1</v>
      </c>
      <c r="FE293">
        <v>4</v>
      </c>
      <c r="FF293">
        <v>2</v>
      </c>
      <c r="FG293">
        <v>0</v>
      </c>
      <c r="FH293">
        <v>0</v>
      </c>
      <c r="FI293">
        <v>1</v>
      </c>
      <c r="FJ293">
        <v>0</v>
      </c>
      <c r="FK293">
        <v>0</v>
      </c>
      <c r="FL293">
        <v>0</v>
      </c>
      <c r="FM293">
        <v>0</v>
      </c>
      <c r="FN293">
        <v>1</v>
      </c>
      <c r="FO293">
        <v>0</v>
      </c>
      <c r="FP293">
        <v>4</v>
      </c>
    </row>
    <row r="294" spans="1:172" ht="14.25">
      <c r="A294">
        <v>289</v>
      </c>
      <c r="B294" t="str">
        <f t="shared" si="51"/>
        <v>106301</v>
      </c>
      <c r="C294" t="str">
        <f t="shared" si="52"/>
        <v>m. Skierniewice</v>
      </c>
      <c r="D294" t="str">
        <f t="shared" si="53"/>
        <v>Skierniewice</v>
      </c>
      <c r="E294" t="str">
        <f t="shared" si="50"/>
        <v>łódzkie</v>
      </c>
      <c r="F294">
        <v>26</v>
      </c>
      <c r="G294" t="str">
        <f>"Wojewódzki Szpital Zespolony, Stanisława Rybickiego 1, 96-100 Skierniewice"</f>
        <v>Wojewódzki Szpital Zespolony, Stanisława Rybickiego 1, 96-100 Skierniewice</v>
      </c>
      <c r="H294">
        <v>149</v>
      </c>
      <c r="I294">
        <v>149</v>
      </c>
      <c r="J294">
        <v>0</v>
      </c>
      <c r="K294">
        <v>200</v>
      </c>
      <c r="L294">
        <v>177</v>
      </c>
      <c r="M294">
        <v>23</v>
      </c>
      <c r="N294">
        <v>23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23</v>
      </c>
      <c r="Z294">
        <v>0</v>
      </c>
      <c r="AA294">
        <v>0</v>
      </c>
      <c r="AB294">
        <v>23</v>
      </c>
      <c r="AC294">
        <v>1</v>
      </c>
      <c r="AD294">
        <v>22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2</v>
      </c>
      <c r="BD294">
        <v>0</v>
      </c>
      <c r="BE294">
        <v>2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2</v>
      </c>
      <c r="BO294">
        <v>15</v>
      </c>
      <c r="BP294">
        <v>15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15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4</v>
      </c>
      <c r="DL294">
        <v>3</v>
      </c>
      <c r="DM294">
        <v>1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4</v>
      </c>
      <c r="DW294">
        <v>1</v>
      </c>
      <c r="DX294">
        <v>0</v>
      </c>
      <c r="DY294">
        <v>1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1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dcterms:created xsi:type="dcterms:W3CDTF">2014-05-27T11:36:35Z</dcterms:created>
  <dcterms:modified xsi:type="dcterms:W3CDTF">2014-05-27T11:36:35Z</dcterms:modified>
  <cp:category/>
  <cp:version/>
  <cp:contentType/>
  <cp:contentStatus/>
</cp:coreProperties>
</file>